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MICRO\Documents\Revista Ambiente Contábil\24 edição (2020_2)\"/>
    </mc:Choice>
  </mc:AlternateContent>
  <xr:revisionPtr revIDLastSave="0" documentId="13_ncr:1_{62E8F424-DF21-499F-97AE-97C0C7AC56A9}" xr6:coauthVersionLast="45" xr6:coauthVersionMax="45" xr10:uidLastSave="{00000000-0000-0000-0000-000000000000}"/>
  <bookViews>
    <workbookView xWindow="-108" yWindow="-108" windowWidth="23256" windowHeight="12576" tabRatio="815" firstSheet="2" activeTab="2" xr2:uid="{00000000-000D-0000-FFFF-FFFF00000000}"/>
  </bookViews>
  <sheets>
    <sheet name="Rem inicialmente levantada " sheetId="11" state="hidden" r:id="rId1"/>
    <sheet name="Planilha1" sheetId="8" state="hidden" r:id="rId2"/>
    <sheet name="Dados dos Bancos" sheetId="1" r:id="rId3"/>
    <sheet name="Remuneração da Dívida" sheetId="10" state="hidden" r:id="rId4"/>
    <sheet name="Estatistica descritiva" sheetId="14" state="hidden" r:id="rId5"/>
    <sheet name="Indicadores" sheetId="7" state="hidden" r:id="rId6"/>
    <sheet name="Análise BNB" sheetId="17" state="hidden" r:id="rId7"/>
    <sheet name="Análise BASA" sheetId="18" state="hidden" r:id="rId8"/>
    <sheet name="TJLP" sheetId="13" state="hidden" r:id="rId9"/>
    <sheet name="Selic.IPCA" sheetId="6" state="hidden" r:id="rId10"/>
    <sheet name="Caixa relatórios IFRS" sheetId="5" state="hidden" r:id="rId11"/>
    <sheet name="Planilha2" sheetId="12" state="hidden" r:id="rId12"/>
    <sheet name="inst. divida" sheetId="2" state="hidden" r:id="rId13"/>
    <sheet name="Calc. Div e JCP" sheetId="3" state="hidden" r:id="rId14"/>
    <sheet name="Ativos Totais bk federais" sheetId="9" state="hidden" r:id="rId15"/>
  </sheets>
  <definedNames>
    <definedName name="_xlnm._FilterDatabase" localSheetId="12" hidden="1">'inst. divida'!$B$3:$F$479</definedName>
    <definedName name="Selic">Selic.IPCA!$M$9:$S$200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0" l="1"/>
  <c r="H44" i="10"/>
  <c r="H45" i="10"/>
  <c r="H46" i="10"/>
  <c r="D46" i="10"/>
  <c r="K46" i="10" l="1"/>
  <c r="P90" i="1"/>
  <c r="D92" i="10"/>
  <c r="K92" i="10" s="1"/>
  <c r="P73" i="1"/>
  <c r="Q73" i="1" s="1"/>
  <c r="F73" i="1"/>
  <c r="N73" i="1"/>
  <c r="J73" i="1"/>
  <c r="I73" i="1"/>
  <c r="H107" i="1"/>
  <c r="O107" i="1"/>
  <c r="G107" i="1"/>
  <c r="D107" i="1"/>
  <c r="L73" i="1" l="1"/>
  <c r="P20" i="1" l="1"/>
  <c r="N20" i="1"/>
  <c r="N19" i="1"/>
  <c r="L19" i="1"/>
  <c r="Q90" i="1"/>
  <c r="N90" i="1"/>
  <c r="J90" i="1"/>
  <c r="L90" i="1" s="1"/>
  <c r="I90" i="1"/>
  <c r="F90" i="1"/>
  <c r="H69" i="10"/>
  <c r="K69" i="10"/>
  <c r="N69" i="10" s="1"/>
  <c r="R56" i="1"/>
  <c r="Q56" i="1"/>
  <c r="S56" i="1"/>
  <c r="J56" i="1"/>
  <c r="L56" i="1" s="1"/>
  <c r="M56" i="1" s="1"/>
  <c r="N56" i="1" s="1"/>
  <c r="I56" i="1"/>
  <c r="F56" i="1"/>
  <c r="R20" i="1"/>
  <c r="R19" i="1"/>
  <c r="H21" i="10"/>
  <c r="J21" i="10" s="1"/>
  <c r="F20" i="1"/>
  <c r="F38" i="1"/>
  <c r="I38" i="1"/>
  <c r="J38" i="1"/>
  <c r="L38" i="1" s="1"/>
  <c r="M38" i="1" s="1"/>
  <c r="Q38" i="1"/>
  <c r="R38" i="1"/>
  <c r="S38" i="1"/>
  <c r="I20" i="1"/>
  <c r="L20" i="1"/>
  <c r="L107" i="1" l="1"/>
  <c r="N38" i="1"/>
  <c r="N107" i="1" s="1"/>
  <c r="M107" i="1"/>
  <c r="F107" i="1"/>
  <c r="I107" i="1"/>
  <c r="Q20" i="1"/>
  <c r="P107" i="1"/>
  <c r="K21" i="10"/>
  <c r="S20" i="1" s="1"/>
  <c r="S107" i="1" s="1"/>
  <c r="Q107" i="1"/>
  <c r="R107" i="1"/>
  <c r="L57" i="1" l="1"/>
  <c r="M57" i="1" s="1"/>
  <c r="N57" i="1" s="1"/>
  <c r="F57" i="1"/>
  <c r="J58" i="1"/>
  <c r="L58" i="1" s="1"/>
  <c r="M58" i="1" s="1"/>
  <c r="N58" i="1" s="1"/>
  <c r="F58" i="1"/>
  <c r="J59" i="1"/>
  <c r="L59" i="1" s="1"/>
  <c r="M59" i="1" s="1"/>
  <c r="N59" i="1" s="1"/>
  <c r="F59" i="1"/>
  <c r="J60" i="1"/>
  <c r="L60" i="1" s="1"/>
  <c r="M60" i="1" s="1"/>
  <c r="N60" i="1" s="1"/>
  <c r="F60" i="1"/>
  <c r="X8" i="7" s="1"/>
  <c r="J61" i="1"/>
  <c r="L61" i="1" s="1"/>
  <c r="F61" i="1"/>
  <c r="J62" i="1"/>
  <c r="L62" i="1" s="1"/>
  <c r="M62" i="1" s="1"/>
  <c r="N62" i="1" s="1"/>
  <c r="F62" i="1"/>
  <c r="J63" i="1"/>
  <c r="L63" i="1" s="1"/>
  <c r="M63" i="1" s="1"/>
  <c r="N63" i="1" s="1"/>
  <c r="F63" i="1"/>
  <c r="J64" i="1"/>
  <c r="L64" i="1" s="1"/>
  <c r="M64" i="1" s="1"/>
  <c r="N64" i="1" s="1"/>
  <c r="F64" i="1"/>
  <c r="X49" i="7" s="1"/>
  <c r="J65" i="1"/>
  <c r="L65" i="1" s="1"/>
  <c r="M65" i="1" s="1"/>
  <c r="N65" i="1" s="1"/>
  <c r="F65" i="1"/>
  <c r="N66" i="1"/>
  <c r="F66" i="1"/>
  <c r="N67" i="1"/>
  <c r="F67" i="1"/>
  <c r="N68" i="1"/>
  <c r="F68" i="1"/>
  <c r="X53" i="7" s="1"/>
  <c r="N69" i="1"/>
  <c r="K88" i="10"/>
  <c r="S69" i="1" s="1"/>
  <c r="F69" i="1"/>
  <c r="N70" i="1"/>
  <c r="D18" i="6"/>
  <c r="D89" i="10" s="1"/>
  <c r="K89" i="10" s="1"/>
  <c r="S70" i="1" s="1"/>
  <c r="F70" i="1"/>
  <c r="N71" i="1"/>
  <c r="D19" i="6"/>
  <c r="D90" i="10" s="1"/>
  <c r="K90" i="10" s="1"/>
  <c r="S71" i="1" s="1"/>
  <c r="F71" i="1"/>
  <c r="N72" i="1"/>
  <c r="D20" i="6"/>
  <c r="F72" i="1"/>
  <c r="I57" i="1"/>
  <c r="I58" i="1"/>
  <c r="I59" i="1"/>
  <c r="I60" i="1"/>
  <c r="I61" i="1"/>
  <c r="I62" i="1"/>
  <c r="I63" i="1"/>
  <c r="I64" i="1"/>
  <c r="I65" i="1"/>
  <c r="I66" i="1"/>
  <c r="I67" i="1"/>
  <c r="W67" i="1"/>
  <c r="I68" i="1"/>
  <c r="I69" i="1"/>
  <c r="I70" i="1"/>
  <c r="I71" i="1"/>
  <c r="I72" i="1"/>
  <c r="L74" i="1"/>
  <c r="M74" i="1" s="1"/>
  <c r="N74" i="1" s="1"/>
  <c r="F74" i="1"/>
  <c r="J75" i="1"/>
  <c r="L75" i="1" s="1"/>
  <c r="M75" i="1" s="1"/>
  <c r="N75" i="1" s="1"/>
  <c r="F75" i="1"/>
  <c r="J76" i="1"/>
  <c r="L76" i="1" s="1"/>
  <c r="M76" i="1" s="1"/>
  <c r="N76" i="1" s="1"/>
  <c r="F76" i="1"/>
  <c r="J77" i="1"/>
  <c r="L77" i="1" s="1"/>
  <c r="M77" i="1" s="1"/>
  <c r="N77" i="1" s="1"/>
  <c r="F77" i="1"/>
  <c r="J78" i="1"/>
  <c r="L78" i="1" s="1"/>
  <c r="M78" i="1" s="1"/>
  <c r="N78" i="1" s="1"/>
  <c r="F78" i="1"/>
  <c r="J79" i="1"/>
  <c r="L79" i="1" s="1"/>
  <c r="M79" i="1" s="1"/>
  <c r="N79" i="1" s="1"/>
  <c r="F79" i="1"/>
  <c r="J80" i="1"/>
  <c r="L80" i="1" s="1"/>
  <c r="M80" i="1" s="1"/>
  <c r="N80" i="1" s="1"/>
  <c r="F80" i="1"/>
  <c r="J81" i="1"/>
  <c r="L81" i="1" s="1"/>
  <c r="M81" i="1" s="1"/>
  <c r="N81" i="1" s="1"/>
  <c r="F81" i="1"/>
  <c r="J82" i="1"/>
  <c r="L82" i="1" s="1"/>
  <c r="M82" i="1" s="1"/>
  <c r="N82" i="1" s="1"/>
  <c r="S82" i="1"/>
  <c r="F82" i="1"/>
  <c r="J83" i="1"/>
  <c r="L83" i="1" s="1"/>
  <c r="M83" i="1" s="1"/>
  <c r="N83" i="1" s="1"/>
  <c r="E218" i="6"/>
  <c r="D108" i="10" s="1"/>
  <c r="K108" i="10" s="1"/>
  <c r="S83" i="1" s="1"/>
  <c r="F83" i="1"/>
  <c r="N84" i="1"/>
  <c r="E219" i="6"/>
  <c r="D109" i="10" s="1"/>
  <c r="K109" i="10" s="1"/>
  <c r="S84" i="1" s="1"/>
  <c r="F84" i="1"/>
  <c r="N85" i="1"/>
  <c r="E220" i="6"/>
  <c r="D110" i="10" s="1"/>
  <c r="F85" i="1"/>
  <c r="N86" i="1"/>
  <c r="E221" i="6"/>
  <c r="D111" i="10" s="1"/>
  <c r="F86" i="1"/>
  <c r="N87" i="1"/>
  <c r="E222" i="6"/>
  <c r="D112" i="10" s="1"/>
  <c r="F87" i="1"/>
  <c r="R87" i="1"/>
  <c r="N88" i="1"/>
  <c r="F88" i="1"/>
  <c r="N89" i="1"/>
  <c r="F89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L40" i="1"/>
  <c r="M40" i="1" s="1"/>
  <c r="N40" i="1" s="1"/>
  <c r="E16" i="13"/>
  <c r="D53" i="10" s="1"/>
  <c r="K53" i="10" s="1"/>
  <c r="S40" i="1" s="1"/>
  <c r="F40" i="1"/>
  <c r="R40" i="1"/>
  <c r="L41" i="1"/>
  <c r="M41" i="1" s="1"/>
  <c r="N41" i="1" s="1"/>
  <c r="K54" i="10"/>
  <c r="S41" i="1" s="1"/>
  <c r="F41" i="1"/>
  <c r="R41" i="1"/>
  <c r="L42" i="1"/>
  <c r="M42" i="1" s="1"/>
  <c r="N42" i="1" s="1"/>
  <c r="K55" i="10"/>
  <c r="S42" i="1" s="1"/>
  <c r="F42" i="1"/>
  <c r="R42" i="1"/>
  <c r="L43" i="1"/>
  <c r="M43" i="1" s="1"/>
  <c r="N43" i="1" s="1"/>
  <c r="K56" i="10"/>
  <c r="S43" i="1" s="1"/>
  <c r="F43" i="1"/>
  <c r="R43" i="1"/>
  <c r="L44" i="1"/>
  <c r="M44" i="1" s="1"/>
  <c r="N44" i="1" s="1"/>
  <c r="K57" i="10"/>
  <c r="S44" i="1"/>
  <c r="F44" i="1"/>
  <c r="R44" i="1"/>
  <c r="L45" i="1"/>
  <c r="M45" i="1" s="1"/>
  <c r="N45" i="1" s="1"/>
  <c r="K58" i="10"/>
  <c r="S45" i="1" s="1"/>
  <c r="F45" i="1"/>
  <c r="R45" i="1"/>
  <c r="J46" i="1"/>
  <c r="L46" i="1" s="1"/>
  <c r="M46" i="1" s="1"/>
  <c r="N46" i="1" s="1"/>
  <c r="K59" i="10"/>
  <c r="N59" i="10" s="1"/>
  <c r="S46" i="1"/>
  <c r="F46" i="1"/>
  <c r="R46" i="1"/>
  <c r="J47" i="1"/>
  <c r="L47" i="1" s="1"/>
  <c r="M47" i="1" s="1"/>
  <c r="N47" i="1" s="1"/>
  <c r="K60" i="10"/>
  <c r="S47" i="1" s="1"/>
  <c r="F47" i="1"/>
  <c r="R47" i="1"/>
  <c r="J48" i="1"/>
  <c r="L48" i="1" s="1"/>
  <c r="M48" i="1" s="1"/>
  <c r="N48" i="1" s="1"/>
  <c r="K61" i="10"/>
  <c r="S48" i="1" s="1"/>
  <c r="F48" i="1"/>
  <c r="R48" i="1"/>
  <c r="J49" i="1"/>
  <c r="L49" i="1" s="1"/>
  <c r="M49" i="1" s="1"/>
  <c r="N49" i="1" s="1"/>
  <c r="K62" i="10"/>
  <c r="S49" i="1" s="1"/>
  <c r="F49" i="1"/>
  <c r="R49" i="1"/>
  <c r="J50" i="1"/>
  <c r="L50" i="1" s="1"/>
  <c r="M50" i="1" s="1"/>
  <c r="N50" i="1" s="1"/>
  <c r="K63" i="10"/>
  <c r="S50" i="1" s="1"/>
  <c r="F50" i="1"/>
  <c r="R50" i="1"/>
  <c r="J51" i="1"/>
  <c r="L51" i="1" s="1"/>
  <c r="M51" i="1" s="1"/>
  <c r="N51" i="1" s="1"/>
  <c r="K64" i="10"/>
  <c r="S51" i="1" s="1"/>
  <c r="F51" i="1"/>
  <c r="R51" i="1"/>
  <c r="J52" i="1"/>
  <c r="L52" i="1" s="1"/>
  <c r="M52" i="1" s="1"/>
  <c r="N52" i="1" s="1"/>
  <c r="K65" i="10"/>
  <c r="S52" i="1" s="1"/>
  <c r="F52" i="1"/>
  <c r="R52" i="1"/>
  <c r="J53" i="1"/>
  <c r="L53" i="1" s="1"/>
  <c r="M53" i="1" s="1"/>
  <c r="N53" i="1" s="1"/>
  <c r="K66" i="10"/>
  <c r="S53" i="1"/>
  <c r="F53" i="1"/>
  <c r="R53" i="1"/>
  <c r="J54" i="1"/>
  <c r="L54" i="1" s="1"/>
  <c r="M54" i="1" s="1"/>
  <c r="N54" i="1" s="1"/>
  <c r="K67" i="10"/>
  <c r="N67" i="10" s="1"/>
  <c r="S54" i="1"/>
  <c r="F54" i="1"/>
  <c r="R54" i="1"/>
  <c r="J55" i="1"/>
  <c r="L55" i="1" s="1"/>
  <c r="M55" i="1" s="1"/>
  <c r="N55" i="1" s="1"/>
  <c r="K68" i="10"/>
  <c r="S55" i="1" s="1"/>
  <c r="F55" i="1"/>
  <c r="R55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J22" i="1"/>
  <c r="L22" i="1" s="1"/>
  <c r="M22" i="1" s="1"/>
  <c r="N22" i="1" s="1"/>
  <c r="D30" i="10"/>
  <c r="K30" i="10" s="1"/>
  <c r="S22" i="1" s="1"/>
  <c r="F22" i="1"/>
  <c r="R22" i="1"/>
  <c r="J23" i="1"/>
  <c r="L23" i="1" s="1"/>
  <c r="M23" i="1" s="1"/>
  <c r="N23" i="1" s="1"/>
  <c r="F16" i="13"/>
  <c r="D31" i="10" s="1"/>
  <c r="K31" i="10" s="1"/>
  <c r="S23" i="1" s="1"/>
  <c r="F23" i="1"/>
  <c r="R23" i="1"/>
  <c r="J24" i="1"/>
  <c r="L24" i="1" s="1"/>
  <c r="M24" i="1" s="1"/>
  <c r="N24" i="1" s="1"/>
  <c r="G16" i="13"/>
  <c r="D32" i="10" s="1"/>
  <c r="K32" i="10" s="1"/>
  <c r="S24" i="1" s="1"/>
  <c r="F24" i="1"/>
  <c r="R24" i="1"/>
  <c r="J25" i="1"/>
  <c r="L25" i="1" s="1"/>
  <c r="M25" i="1" s="1"/>
  <c r="N25" i="1" s="1"/>
  <c r="H16" i="13"/>
  <c r="D33" i="10" s="1"/>
  <c r="K33" i="10" s="1"/>
  <c r="S25" i="1" s="1"/>
  <c r="F25" i="1"/>
  <c r="R25" i="1"/>
  <c r="J26" i="1"/>
  <c r="L26" i="1" s="1"/>
  <c r="M26" i="1" s="1"/>
  <c r="N26" i="1" s="1"/>
  <c r="I16" i="13"/>
  <c r="D34" i="10" s="1"/>
  <c r="K34" i="10" s="1"/>
  <c r="S26" i="1" s="1"/>
  <c r="F26" i="1"/>
  <c r="R26" i="1"/>
  <c r="J27" i="1"/>
  <c r="L27" i="1" s="1"/>
  <c r="M27" i="1" s="1"/>
  <c r="N27" i="1" s="1"/>
  <c r="J16" i="13"/>
  <c r="D35" i="10" s="1"/>
  <c r="K35" i="10" s="1"/>
  <c r="S27" i="1" s="1"/>
  <c r="F27" i="1"/>
  <c r="R27" i="1"/>
  <c r="J28" i="1"/>
  <c r="L28" i="1" s="1"/>
  <c r="M28" i="1" s="1"/>
  <c r="N28" i="1" s="1"/>
  <c r="H36" i="10"/>
  <c r="K16" i="13"/>
  <c r="D36" i="10" s="1"/>
  <c r="F28" i="1"/>
  <c r="R28" i="1"/>
  <c r="J29" i="1"/>
  <c r="L29" i="1" s="1"/>
  <c r="M29" i="1" s="1"/>
  <c r="N29" i="1" s="1"/>
  <c r="H37" i="10"/>
  <c r="J37" i="10" s="1"/>
  <c r="L16" i="13"/>
  <c r="D37" i="10" s="1"/>
  <c r="F29" i="1"/>
  <c r="R29" i="1"/>
  <c r="J30" i="1"/>
  <c r="L30" i="1" s="1"/>
  <c r="M30" i="1" s="1"/>
  <c r="N30" i="1" s="1"/>
  <c r="H38" i="10"/>
  <c r="J38" i="10" s="1"/>
  <c r="M16" i="13"/>
  <c r="D38" i="10"/>
  <c r="F30" i="1"/>
  <c r="R30" i="1"/>
  <c r="J31" i="1"/>
  <c r="L31" i="1" s="1"/>
  <c r="M31" i="1" s="1"/>
  <c r="N31" i="1" s="1"/>
  <c r="H39" i="10"/>
  <c r="N16" i="13"/>
  <c r="D39" i="10" s="1"/>
  <c r="F31" i="1"/>
  <c r="R31" i="1"/>
  <c r="J32" i="1"/>
  <c r="L32" i="1" s="1"/>
  <c r="M32" i="1" s="1"/>
  <c r="N32" i="1" s="1"/>
  <c r="H40" i="10"/>
  <c r="O16" i="13"/>
  <c r="D40" i="10"/>
  <c r="F32" i="1"/>
  <c r="R32" i="1"/>
  <c r="J33" i="1"/>
  <c r="L33" i="1" s="1"/>
  <c r="M33" i="1" s="1"/>
  <c r="N33" i="1" s="1"/>
  <c r="H41" i="10"/>
  <c r="P16" i="13"/>
  <c r="D41" i="10" s="1"/>
  <c r="F33" i="1"/>
  <c r="R33" i="1"/>
  <c r="J34" i="1"/>
  <c r="L34" i="1" s="1"/>
  <c r="M34" i="1" s="1"/>
  <c r="N34" i="1" s="1"/>
  <c r="H42" i="10"/>
  <c r="Q16" i="13"/>
  <c r="D42" i="10"/>
  <c r="F34" i="1"/>
  <c r="R34" i="1"/>
  <c r="J35" i="1"/>
  <c r="L35" i="1" s="1"/>
  <c r="M35" i="1" s="1"/>
  <c r="N35" i="1" s="1"/>
  <c r="R16" i="13"/>
  <c r="D43" i="10" s="1"/>
  <c r="F35" i="1"/>
  <c r="R35" i="1"/>
  <c r="J36" i="1"/>
  <c r="L36" i="1" s="1"/>
  <c r="M36" i="1" s="1"/>
  <c r="N36" i="1" s="1"/>
  <c r="S16" i="13"/>
  <c r="D44" i="10"/>
  <c r="F36" i="1"/>
  <c r="R36" i="1"/>
  <c r="J37" i="1"/>
  <c r="L37" i="1" s="1"/>
  <c r="M37" i="1" s="1"/>
  <c r="N37" i="1" s="1"/>
  <c r="T16" i="13"/>
  <c r="D45" i="10" s="1"/>
  <c r="F37" i="1"/>
  <c r="R37" i="1"/>
  <c r="I22" i="1"/>
  <c r="I91" i="1" s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J4" i="1"/>
  <c r="L4" i="1" s="1"/>
  <c r="M4" i="1" s="1"/>
  <c r="N4" i="1" s="1"/>
  <c r="F4" i="1"/>
  <c r="J5" i="1"/>
  <c r="L5" i="1" s="1"/>
  <c r="M5" i="1" s="1"/>
  <c r="N5" i="1" s="1"/>
  <c r="F5" i="1"/>
  <c r="J6" i="1"/>
  <c r="L6" i="1" s="1"/>
  <c r="M6" i="1" s="1"/>
  <c r="N6" i="1" s="1"/>
  <c r="F6" i="1"/>
  <c r="J7" i="1"/>
  <c r="L7" i="1" s="1"/>
  <c r="F7" i="1"/>
  <c r="J8" i="1"/>
  <c r="L8" i="1" s="1"/>
  <c r="M8" i="1" s="1"/>
  <c r="N8" i="1" s="1"/>
  <c r="F8" i="1"/>
  <c r="J9" i="1"/>
  <c r="L9" i="1" s="1"/>
  <c r="M9" i="1" s="1"/>
  <c r="N9" i="1" s="1"/>
  <c r="F9" i="1"/>
  <c r="J10" i="1"/>
  <c r="L10" i="1" s="1"/>
  <c r="M10" i="1" s="1"/>
  <c r="N10" i="1" s="1"/>
  <c r="F10" i="1"/>
  <c r="J11" i="1"/>
  <c r="L11" i="1" s="1"/>
  <c r="M11" i="1" s="1"/>
  <c r="N11" i="1" s="1"/>
  <c r="F11" i="1"/>
  <c r="N12" i="1"/>
  <c r="F12" i="1"/>
  <c r="N13" i="1"/>
  <c r="F13" i="1"/>
  <c r="N14" i="1"/>
  <c r="H15" i="10"/>
  <c r="K15" i="10"/>
  <c r="S14" i="1" s="1"/>
  <c r="F14" i="1"/>
  <c r="R14" i="1"/>
  <c r="N15" i="1"/>
  <c r="H16" i="10"/>
  <c r="K16" i="10" s="1"/>
  <c r="S15" i="1" s="1"/>
  <c r="F15" i="1"/>
  <c r="R15" i="1"/>
  <c r="N16" i="1"/>
  <c r="H17" i="10"/>
  <c r="K17" i="10"/>
  <c r="S16" i="1" s="1"/>
  <c r="D16" i="1"/>
  <c r="F16" i="1" s="1"/>
  <c r="R16" i="1"/>
  <c r="N17" i="1"/>
  <c r="H18" i="10"/>
  <c r="K18" i="10" s="1"/>
  <c r="S17" i="1" s="1"/>
  <c r="F17" i="1"/>
  <c r="R17" i="1"/>
  <c r="N18" i="1"/>
  <c r="H19" i="10"/>
  <c r="K19" i="10" s="1"/>
  <c r="S18" i="1" s="1"/>
  <c r="F18" i="1"/>
  <c r="R18" i="1"/>
  <c r="H20" i="10"/>
  <c r="F19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H16" i="7"/>
  <c r="Q16" i="7" s="1"/>
  <c r="H17" i="7"/>
  <c r="Q54" i="7" s="1"/>
  <c r="H18" i="7"/>
  <c r="Q55" i="7" s="1"/>
  <c r="H19" i="7"/>
  <c r="G18" i="18" s="1"/>
  <c r="H20" i="7"/>
  <c r="H6" i="7"/>
  <c r="H43" i="7" s="1"/>
  <c r="H7" i="7"/>
  <c r="H44" i="7" s="1"/>
  <c r="H8" i="7"/>
  <c r="H45" i="7" s="1"/>
  <c r="H9" i="7"/>
  <c r="Q9" i="7" s="1"/>
  <c r="H10" i="7"/>
  <c r="Q47" i="7" s="1"/>
  <c r="H11" i="7"/>
  <c r="Q48" i="7" s="1"/>
  <c r="H12" i="7"/>
  <c r="H49" i="7" s="1"/>
  <c r="H13" i="7"/>
  <c r="Q50" i="7" s="1"/>
  <c r="H14" i="7"/>
  <c r="H51" i="7" s="1"/>
  <c r="H15" i="7"/>
  <c r="Q52" i="7" s="1"/>
  <c r="H5" i="7"/>
  <c r="Q42" i="7" s="1"/>
  <c r="H46" i="7"/>
  <c r="I21" i="1"/>
  <c r="L21" i="1"/>
  <c r="M21" i="1" s="1"/>
  <c r="N21" i="1" s="1"/>
  <c r="Q4" i="1"/>
  <c r="U5" i="7" s="1"/>
  <c r="D103" i="1"/>
  <c r="D91" i="1"/>
  <c r="D92" i="1"/>
  <c r="D93" i="1"/>
  <c r="D94" i="1"/>
  <c r="D95" i="1"/>
  <c r="D96" i="1"/>
  <c r="D97" i="1"/>
  <c r="D98" i="1"/>
  <c r="D99" i="1"/>
  <c r="D100" i="1"/>
  <c r="D101" i="1"/>
  <c r="D102" i="1"/>
  <c r="D104" i="1"/>
  <c r="D105" i="1"/>
  <c r="D106" i="1"/>
  <c r="G3" i="18"/>
  <c r="G3" i="17"/>
  <c r="Z7" i="14"/>
  <c r="Z6" i="14"/>
  <c r="Z5" i="14"/>
  <c r="Z4" i="14"/>
  <c r="Z18" i="14"/>
  <c r="Z17" i="14"/>
  <c r="Z16" i="14"/>
  <c r="Z15" i="14"/>
  <c r="O98" i="1"/>
  <c r="G92" i="1"/>
  <c r="H92" i="1"/>
  <c r="K92" i="1"/>
  <c r="O92" i="1"/>
  <c r="P92" i="1"/>
  <c r="G93" i="1"/>
  <c r="H93" i="1"/>
  <c r="K93" i="1"/>
  <c r="O93" i="1"/>
  <c r="P93" i="1"/>
  <c r="G94" i="1"/>
  <c r="H94" i="1"/>
  <c r="K94" i="1"/>
  <c r="O77" i="1"/>
  <c r="O94" i="1" s="1"/>
  <c r="P94" i="1"/>
  <c r="G95" i="1"/>
  <c r="H95" i="1"/>
  <c r="K95" i="1"/>
  <c r="O95" i="1"/>
  <c r="P95" i="1"/>
  <c r="G96" i="1"/>
  <c r="H96" i="1"/>
  <c r="K96" i="1"/>
  <c r="O96" i="1"/>
  <c r="P96" i="1"/>
  <c r="G97" i="1"/>
  <c r="H97" i="1"/>
  <c r="K97" i="1"/>
  <c r="O97" i="1"/>
  <c r="P97" i="1"/>
  <c r="G98" i="1"/>
  <c r="H98" i="1"/>
  <c r="K98" i="1"/>
  <c r="P98" i="1"/>
  <c r="G99" i="1"/>
  <c r="H99" i="1"/>
  <c r="O99" i="1"/>
  <c r="P99" i="1"/>
  <c r="G100" i="1"/>
  <c r="H100" i="1"/>
  <c r="O100" i="1"/>
  <c r="P100" i="1"/>
  <c r="G101" i="1"/>
  <c r="H101" i="1"/>
  <c r="O101" i="1"/>
  <c r="P101" i="1"/>
  <c r="G102" i="1"/>
  <c r="H102" i="1"/>
  <c r="O102" i="1"/>
  <c r="P102" i="1"/>
  <c r="G103" i="1"/>
  <c r="H103" i="1"/>
  <c r="O103" i="1"/>
  <c r="P103" i="1"/>
  <c r="G104" i="1"/>
  <c r="H104" i="1"/>
  <c r="O104" i="1"/>
  <c r="P104" i="1"/>
  <c r="G105" i="1"/>
  <c r="H105" i="1"/>
  <c r="O105" i="1"/>
  <c r="P105" i="1"/>
  <c r="G106" i="1"/>
  <c r="H106" i="1"/>
  <c r="O106" i="1"/>
  <c r="P106" i="1"/>
  <c r="G91" i="1"/>
  <c r="H91" i="1"/>
  <c r="K91" i="1"/>
  <c r="O91" i="1"/>
  <c r="P91" i="1"/>
  <c r="Q82" i="1"/>
  <c r="E223" i="6"/>
  <c r="D113" i="10" s="1"/>
  <c r="Q88" i="1"/>
  <c r="Q89" i="1"/>
  <c r="E217" i="6"/>
  <c r="D107" i="10"/>
  <c r="E209" i="6"/>
  <c r="E210" i="6"/>
  <c r="E211" i="6"/>
  <c r="E212" i="6"/>
  <c r="E213" i="6"/>
  <c r="E214" i="6"/>
  <c r="E215" i="6"/>
  <c r="E216" i="6"/>
  <c r="E224" i="6"/>
  <c r="D114" i="10" s="1"/>
  <c r="Q87" i="1"/>
  <c r="Q74" i="1"/>
  <c r="Q75" i="1"/>
  <c r="Q76" i="1"/>
  <c r="Q78" i="1"/>
  <c r="Q79" i="1"/>
  <c r="Q80" i="1"/>
  <c r="Y11" i="7" s="1"/>
  <c r="Q81" i="1"/>
  <c r="Q83" i="1"/>
  <c r="Q84" i="1"/>
  <c r="Q85" i="1"/>
  <c r="Q86" i="1"/>
  <c r="J85" i="1"/>
  <c r="L85" i="1" s="1"/>
  <c r="J86" i="1"/>
  <c r="L86" i="1" s="1"/>
  <c r="J87" i="1"/>
  <c r="L87" i="1" s="1"/>
  <c r="J88" i="1"/>
  <c r="J89" i="1"/>
  <c r="L89" i="1" s="1"/>
  <c r="J70" i="1"/>
  <c r="L70" i="1" s="1"/>
  <c r="L67" i="1"/>
  <c r="D17" i="6"/>
  <c r="D88" i="10" s="1"/>
  <c r="H81" i="10"/>
  <c r="H88" i="10"/>
  <c r="K87" i="10"/>
  <c r="H87" i="10"/>
  <c r="K86" i="10"/>
  <c r="H86" i="10"/>
  <c r="K85" i="10"/>
  <c r="H85" i="10"/>
  <c r="K84" i="10"/>
  <c r="H84" i="10"/>
  <c r="K83" i="10"/>
  <c r="H83" i="10"/>
  <c r="K82" i="10"/>
  <c r="H82" i="10"/>
  <c r="K81" i="10"/>
  <c r="K80" i="10"/>
  <c r="H80" i="10"/>
  <c r="K79" i="10"/>
  <c r="J79" i="10"/>
  <c r="K78" i="10"/>
  <c r="J78" i="10"/>
  <c r="K77" i="10"/>
  <c r="K76" i="10"/>
  <c r="Q59" i="1"/>
  <c r="Q60" i="1"/>
  <c r="Q61" i="1"/>
  <c r="Q62" i="1"/>
  <c r="X10" i="7" s="1"/>
  <c r="Q63" i="1"/>
  <c r="Q64" i="1"/>
  <c r="Q65" i="1"/>
  <c r="Q66" i="1"/>
  <c r="X51" i="7" s="1"/>
  <c r="Q67" i="1"/>
  <c r="Q68" i="1"/>
  <c r="Q69" i="1"/>
  <c r="X17" i="7" s="1"/>
  <c r="Q70" i="1"/>
  <c r="Q71" i="1"/>
  <c r="Q72" i="1"/>
  <c r="Q58" i="1"/>
  <c r="Q57" i="1"/>
  <c r="X5" i="7" s="1"/>
  <c r="J66" i="1"/>
  <c r="L66" i="1" s="1"/>
  <c r="J68" i="1"/>
  <c r="L68" i="1" s="1"/>
  <c r="J69" i="1"/>
  <c r="L69" i="1" s="1"/>
  <c r="J71" i="1"/>
  <c r="L71" i="1" s="1"/>
  <c r="J72" i="1"/>
  <c r="L72" i="1" s="1"/>
  <c r="R3" i="14"/>
  <c r="R4" i="14"/>
  <c r="R5" i="14"/>
  <c r="R6" i="14"/>
  <c r="R7" i="14"/>
  <c r="N58" i="10"/>
  <c r="N61" i="10"/>
  <c r="N63" i="10"/>
  <c r="N65" i="10"/>
  <c r="N66" i="10"/>
  <c r="N57" i="10"/>
  <c r="J12" i="1"/>
  <c r="L12" i="1"/>
  <c r="L13" i="1"/>
  <c r="L14" i="1"/>
  <c r="L15" i="1"/>
  <c r="L16" i="1"/>
  <c r="L17" i="1"/>
  <c r="L18" i="1"/>
  <c r="AA14" i="14"/>
  <c r="AA15" i="14"/>
  <c r="AA16" i="14"/>
  <c r="AA17" i="14"/>
  <c r="AA3" i="14"/>
  <c r="AA4" i="14"/>
  <c r="AA5" i="14"/>
  <c r="AA6" i="14"/>
  <c r="AA18" i="14"/>
  <c r="AA7" i="14"/>
  <c r="Q54" i="1"/>
  <c r="Q43" i="1"/>
  <c r="D16" i="13"/>
  <c r="J39" i="10"/>
  <c r="C16" i="13"/>
  <c r="H57" i="10"/>
  <c r="H59" i="10"/>
  <c r="H60" i="10"/>
  <c r="H61" i="10"/>
  <c r="H62" i="10"/>
  <c r="H63" i="10"/>
  <c r="H64" i="10"/>
  <c r="H65" i="10"/>
  <c r="H66" i="10"/>
  <c r="H67" i="10"/>
  <c r="H68" i="10"/>
  <c r="H58" i="10"/>
  <c r="E65" i="10"/>
  <c r="J56" i="10"/>
  <c r="J55" i="10"/>
  <c r="J35" i="10"/>
  <c r="J34" i="10"/>
  <c r="J33" i="10"/>
  <c r="J32" i="10"/>
  <c r="H7" i="10"/>
  <c r="J7" i="10" s="1"/>
  <c r="H8" i="10"/>
  <c r="J8" i="10"/>
  <c r="H9" i="10"/>
  <c r="J9" i="10" s="1"/>
  <c r="H10" i="10"/>
  <c r="J10" i="10" s="1"/>
  <c r="H11" i="10"/>
  <c r="J11" i="10" s="1"/>
  <c r="H12" i="10"/>
  <c r="J12" i="10" s="1"/>
  <c r="H13" i="10"/>
  <c r="J13" i="10" s="1"/>
  <c r="H14" i="10"/>
  <c r="J14" i="10" s="1"/>
  <c r="J16" i="10"/>
  <c r="J17" i="10"/>
  <c r="D8" i="9"/>
  <c r="E4" i="9"/>
  <c r="E5" i="9"/>
  <c r="E6" i="9"/>
  <c r="E7" i="9"/>
  <c r="E3" i="9"/>
  <c r="E8" i="9" s="1"/>
  <c r="D6" i="6"/>
  <c r="D7" i="6"/>
  <c r="D8" i="6"/>
  <c r="D9" i="6"/>
  <c r="D10" i="6"/>
  <c r="D11" i="6"/>
  <c r="D12" i="6"/>
  <c r="D13" i="6"/>
  <c r="D14" i="6"/>
  <c r="D15" i="6"/>
  <c r="D16" i="6"/>
  <c r="D5" i="6"/>
  <c r="Q55" i="1"/>
  <c r="Q53" i="1"/>
  <c r="Q52" i="1"/>
  <c r="Q51" i="1"/>
  <c r="Q50" i="1"/>
  <c r="Q49" i="1"/>
  <c r="Q48" i="1"/>
  <c r="Q47" i="1"/>
  <c r="Q46" i="1"/>
  <c r="Q45" i="1"/>
  <c r="Q44" i="1"/>
  <c r="Q42" i="1"/>
  <c r="Q41" i="1"/>
  <c r="Q40" i="1"/>
  <c r="Q39" i="1"/>
  <c r="Q37" i="1"/>
  <c r="Q36" i="1"/>
  <c r="Q35" i="1"/>
  <c r="Q34" i="1"/>
  <c r="Q33" i="1"/>
  <c r="Q32" i="1"/>
  <c r="Q31" i="1"/>
  <c r="V14" i="7" s="1"/>
  <c r="Q30" i="1"/>
  <c r="Q29" i="1"/>
  <c r="Q28" i="1"/>
  <c r="Q27" i="1"/>
  <c r="Q26" i="1"/>
  <c r="Q25" i="1"/>
  <c r="Q24" i="1"/>
  <c r="Q23" i="1"/>
  <c r="Q22" i="1"/>
  <c r="Q19" i="1"/>
  <c r="U20" i="7" s="1"/>
  <c r="Q18" i="1"/>
  <c r="Q17" i="1"/>
  <c r="U18" i="7" s="1"/>
  <c r="Q16" i="1"/>
  <c r="Q15" i="1"/>
  <c r="Q14" i="1"/>
  <c r="Q13" i="1"/>
  <c r="Q12" i="1"/>
  <c r="Q11" i="1"/>
  <c r="Q10" i="1"/>
  <c r="Q9" i="1"/>
  <c r="Q8" i="1"/>
  <c r="Q7" i="1"/>
  <c r="Q6" i="1"/>
  <c r="Q5" i="1"/>
  <c r="L3" i="1"/>
  <c r="M3" i="1" s="1"/>
  <c r="L39" i="1"/>
  <c r="M39" i="1" s="1"/>
  <c r="D14" i="3"/>
  <c r="C15" i="3" s="1"/>
  <c r="D6" i="3"/>
  <c r="C7" i="3" s="1"/>
  <c r="C9" i="3" s="1"/>
  <c r="D22" i="3"/>
  <c r="C23" i="3" s="1"/>
  <c r="D30" i="3"/>
  <c r="C31" i="3" s="1"/>
  <c r="C32" i="3" s="1"/>
  <c r="D38" i="3"/>
  <c r="C39" i="3" s="1"/>
  <c r="D46" i="3"/>
  <c r="C47" i="3" s="1"/>
  <c r="D54" i="3"/>
  <c r="C55" i="3" s="1"/>
  <c r="C57" i="3" s="1"/>
  <c r="D62" i="3"/>
  <c r="C63" i="3" s="1"/>
  <c r="F466" i="2"/>
  <c r="J15" i="10"/>
  <c r="N60" i="10"/>
  <c r="C56" i="3"/>
  <c r="J18" i="10"/>
  <c r="J36" i="10"/>
  <c r="X12" i="7"/>
  <c r="U69" i="1" l="1"/>
  <c r="F17" i="7" s="1"/>
  <c r="C16" i="18" s="1"/>
  <c r="U57" i="1"/>
  <c r="W60" i="1"/>
  <c r="V16" i="7"/>
  <c r="U64" i="1"/>
  <c r="F12" i="7" s="1"/>
  <c r="C11" i="18" s="1"/>
  <c r="X45" i="7"/>
  <c r="X16" i="7"/>
  <c r="X88" i="1"/>
  <c r="V69" i="1"/>
  <c r="C48" i="3"/>
  <c r="C49" i="3"/>
  <c r="C17" i="3"/>
  <c r="C16" i="3"/>
  <c r="U22" i="1"/>
  <c r="D5" i="7" s="1"/>
  <c r="W20" i="7"/>
  <c r="U56" i="1"/>
  <c r="V56" i="1"/>
  <c r="Y46" i="7"/>
  <c r="Y7" i="7"/>
  <c r="Y42" i="7"/>
  <c r="X19" i="7"/>
  <c r="V90" i="1"/>
  <c r="W90" i="1"/>
  <c r="U90" i="1"/>
  <c r="X90" i="1"/>
  <c r="W73" i="1"/>
  <c r="V73" i="1"/>
  <c r="X73" i="1"/>
  <c r="U73" i="1"/>
  <c r="C8" i="3"/>
  <c r="D91" i="10"/>
  <c r="K91" i="10" s="1"/>
  <c r="S72" i="1" s="1"/>
  <c r="G6" i="18"/>
  <c r="K39" i="10"/>
  <c r="S31" i="1" s="1"/>
  <c r="Y56" i="7"/>
  <c r="U61" i="1"/>
  <c r="W57" i="1"/>
  <c r="F42" i="7" s="1"/>
  <c r="E4" i="18" s="1"/>
  <c r="V68" i="1"/>
  <c r="O16" i="7" s="1"/>
  <c r="D15" i="18" s="1"/>
  <c r="K43" i="10"/>
  <c r="S35" i="1" s="1"/>
  <c r="K45" i="10"/>
  <c r="S37" i="1" s="1"/>
  <c r="K44" i="10"/>
  <c r="S36" i="1" s="1"/>
  <c r="K42" i="10"/>
  <c r="N62" i="10"/>
  <c r="S34" i="1"/>
  <c r="W34" i="1" s="1"/>
  <c r="K41" i="10"/>
  <c r="S33" i="1" s="1"/>
  <c r="V53" i="7" s="1"/>
  <c r="N64" i="10"/>
  <c r="K20" i="10"/>
  <c r="S19" i="1" s="1"/>
  <c r="W56" i="1"/>
  <c r="X56" i="1"/>
  <c r="N68" i="10"/>
  <c r="K36" i="10"/>
  <c r="S28" i="1" s="1"/>
  <c r="X28" i="1" s="1"/>
  <c r="K37" i="10"/>
  <c r="S29" i="1" s="1"/>
  <c r="S98" i="1" s="1"/>
  <c r="J20" i="10"/>
  <c r="J19" i="10"/>
  <c r="U37" i="1"/>
  <c r="D20" i="7" s="1"/>
  <c r="U38" i="1"/>
  <c r="V38" i="1"/>
  <c r="K38" i="10"/>
  <c r="S30" i="1" s="1"/>
  <c r="S99" i="1" s="1"/>
  <c r="M108" i="10"/>
  <c r="K40" i="10"/>
  <c r="S32" i="1" s="1"/>
  <c r="S101" i="1" s="1"/>
  <c r="W89" i="1"/>
  <c r="G57" i="7" s="1"/>
  <c r="E19" i="17" s="1"/>
  <c r="Y9" i="7"/>
  <c r="V11" i="7"/>
  <c r="W6" i="7"/>
  <c r="R96" i="1"/>
  <c r="R91" i="1"/>
  <c r="V89" i="1"/>
  <c r="P20" i="7" s="1"/>
  <c r="D19" i="17" s="1"/>
  <c r="X9" i="7"/>
  <c r="U45" i="7"/>
  <c r="U12" i="7"/>
  <c r="J99" i="1"/>
  <c r="X44" i="7"/>
  <c r="Y12" i="7"/>
  <c r="G14" i="17"/>
  <c r="U88" i="1"/>
  <c r="G19" i="7" s="1"/>
  <c r="C18" i="17" s="1"/>
  <c r="Y17" i="7"/>
  <c r="Y44" i="7"/>
  <c r="S93" i="1"/>
  <c r="Y5" i="7"/>
  <c r="Q7" i="7"/>
  <c r="U36" i="1"/>
  <c r="U32" i="1"/>
  <c r="D15" i="7" s="1"/>
  <c r="U28" i="1"/>
  <c r="D11" i="7" s="1"/>
  <c r="U24" i="1"/>
  <c r="D7" i="7" s="1"/>
  <c r="U53" i="1"/>
  <c r="E18" i="7" s="1"/>
  <c r="W49" i="1"/>
  <c r="U83" i="1"/>
  <c r="G14" i="7" s="1"/>
  <c r="C13" i="17" s="1"/>
  <c r="U79" i="1"/>
  <c r="G10" i="7" s="1"/>
  <c r="C9" i="17" s="1"/>
  <c r="U75" i="1"/>
  <c r="G6" i="7" s="1"/>
  <c r="C5" i="17" s="1"/>
  <c r="V83" i="1"/>
  <c r="U80" i="1"/>
  <c r="G11" i="7" s="1"/>
  <c r="C10" i="17" s="1"/>
  <c r="J95" i="1"/>
  <c r="W17" i="7"/>
  <c r="G4" i="17"/>
  <c r="U33" i="1"/>
  <c r="D16" i="7" s="1"/>
  <c r="S92" i="1"/>
  <c r="V10" i="7"/>
  <c r="V18" i="7"/>
  <c r="Y10" i="7"/>
  <c r="Y20" i="7"/>
  <c r="Y13" i="7"/>
  <c r="G14" i="18"/>
  <c r="Q53" i="7"/>
  <c r="U27" i="1"/>
  <c r="U23" i="1"/>
  <c r="R95" i="1"/>
  <c r="W78" i="1"/>
  <c r="G46" i="7" s="1"/>
  <c r="E8" i="17" s="1"/>
  <c r="F105" i="1"/>
  <c r="F102" i="1"/>
  <c r="W8" i="7"/>
  <c r="L103" i="1"/>
  <c r="X55" i="7"/>
  <c r="G15" i="17"/>
  <c r="G15" i="18"/>
  <c r="F100" i="1"/>
  <c r="U6" i="7"/>
  <c r="U35" i="1"/>
  <c r="R93" i="1"/>
  <c r="W11" i="7"/>
  <c r="V45" i="1"/>
  <c r="X38" i="1"/>
  <c r="W38" i="1"/>
  <c r="U45" i="1"/>
  <c r="E10" i="7" s="1"/>
  <c r="W57" i="7"/>
  <c r="W15" i="7"/>
  <c r="M93" i="1"/>
  <c r="J93" i="1"/>
  <c r="U17" i="7"/>
  <c r="W50" i="7"/>
  <c r="H42" i="7"/>
  <c r="V15" i="7"/>
  <c r="U25" i="1"/>
  <c r="D8" i="7" s="1"/>
  <c r="F92" i="1"/>
  <c r="Q77" i="1"/>
  <c r="Y45" i="7" s="1"/>
  <c r="J91" i="1"/>
  <c r="X6" i="7"/>
  <c r="X43" i="7"/>
  <c r="W6" i="1"/>
  <c r="F96" i="1"/>
  <c r="U26" i="1"/>
  <c r="U65" i="1"/>
  <c r="F13" i="7" s="1"/>
  <c r="C12" i="18" s="1"/>
  <c r="J98" i="1"/>
  <c r="U43" i="7"/>
  <c r="U10" i="7"/>
  <c r="U51" i="7"/>
  <c r="Y14" i="7"/>
  <c r="I92" i="1"/>
  <c r="V20" i="1"/>
  <c r="U20" i="1"/>
  <c r="U34" i="1"/>
  <c r="D17" i="7" s="1"/>
  <c r="W88" i="1"/>
  <c r="G56" i="7" s="1"/>
  <c r="E18" i="17" s="1"/>
  <c r="W59" i="1"/>
  <c r="X20" i="7"/>
  <c r="W71" i="1"/>
  <c r="F56" i="7" s="1"/>
  <c r="E18" i="18" s="1"/>
  <c r="X67" i="1"/>
  <c r="Y43" i="7"/>
  <c r="Y15" i="7"/>
  <c r="I105" i="1"/>
  <c r="U31" i="1"/>
  <c r="D14" i="7" s="1"/>
  <c r="W68" i="1"/>
  <c r="F53" i="7" s="1"/>
  <c r="E15" i="18" s="1"/>
  <c r="X11" i="7"/>
  <c r="M103" i="1"/>
  <c r="L93" i="1"/>
  <c r="U15" i="7"/>
  <c r="Y19" i="7"/>
  <c r="U42" i="7"/>
  <c r="U46" i="1"/>
  <c r="W76" i="1"/>
  <c r="X89" i="1"/>
  <c r="P57" i="7" s="1"/>
  <c r="F19" i="17" s="1"/>
  <c r="D19" i="7"/>
  <c r="D18" i="7"/>
  <c r="W20" i="1"/>
  <c r="X20" i="1"/>
  <c r="U54" i="7"/>
  <c r="Q103" i="1"/>
  <c r="Q95" i="1"/>
  <c r="X54" i="7"/>
  <c r="U14" i="7"/>
  <c r="V8" i="7"/>
  <c r="U44" i="7"/>
  <c r="U56" i="7"/>
  <c r="W47" i="7"/>
  <c r="G11" i="17"/>
  <c r="G4" i="18"/>
  <c r="G11" i="18"/>
  <c r="Q5" i="7"/>
  <c r="H53" i="7"/>
  <c r="F94" i="1"/>
  <c r="R100" i="1"/>
  <c r="U30" i="1"/>
  <c r="D13" i="7" s="1"/>
  <c r="V47" i="7"/>
  <c r="S95" i="1"/>
  <c r="S91" i="1"/>
  <c r="M101" i="1"/>
  <c r="U47" i="7"/>
  <c r="M104" i="1"/>
  <c r="U16" i="7"/>
  <c r="V19" i="7"/>
  <c r="G17" i="17"/>
  <c r="G6" i="17"/>
  <c r="G17" i="18"/>
  <c r="G8" i="18"/>
  <c r="Q15" i="7"/>
  <c r="H48" i="7"/>
  <c r="U29" i="1"/>
  <c r="D12" i="7" s="1"/>
  <c r="R99" i="1"/>
  <c r="W45" i="7"/>
  <c r="W42" i="7"/>
  <c r="F44" i="7"/>
  <c r="E6" i="18" s="1"/>
  <c r="O52" i="7"/>
  <c r="F14" i="18" s="1"/>
  <c r="M61" i="1"/>
  <c r="N61" i="1" s="1"/>
  <c r="X61" i="1" s="1"/>
  <c r="L95" i="1"/>
  <c r="N96" i="1"/>
  <c r="Y8" i="7"/>
  <c r="V17" i="7"/>
  <c r="Y47" i="7"/>
  <c r="M102" i="1"/>
  <c r="Y48" i="7"/>
  <c r="X48" i="7"/>
  <c r="X46" i="7"/>
  <c r="V13" i="7"/>
  <c r="X14" i="7"/>
  <c r="V12" i="7"/>
  <c r="W5" i="7"/>
  <c r="H55" i="7"/>
  <c r="F104" i="1"/>
  <c r="F99" i="1"/>
  <c r="U46" i="7"/>
  <c r="U7" i="1"/>
  <c r="N97" i="1"/>
  <c r="V41" i="1"/>
  <c r="N6" i="7" s="1"/>
  <c r="U50" i="1"/>
  <c r="E15" i="7" s="1"/>
  <c r="W49" i="7"/>
  <c r="W84" i="1"/>
  <c r="G52" i="7" s="1"/>
  <c r="E14" i="17" s="1"/>
  <c r="W80" i="1"/>
  <c r="V59" i="1"/>
  <c r="I103" i="1"/>
  <c r="W64" i="1"/>
  <c r="X68" i="1"/>
  <c r="M97" i="1"/>
  <c r="L97" i="1"/>
  <c r="L99" i="1"/>
  <c r="M96" i="1"/>
  <c r="M99" i="1"/>
  <c r="X47" i="7"/>
  <c r="X50" i="7"/>
  <c r="W52" i="7"/>
  <c r="Y16" i="7"/>
  <c r="G8" i="17"/>
  <c r="G12" i="18"/>
  <c r="G5" i="18"/>
  <c r="Q13" i="7"/>
  <c r="Q44" i="7"/>
  <c r="F103" i="1"/>
  <c r="F91" i="1"/>
  <c r="W79" i="1"/>
  <c r="G47" i="7" s="1"/>
  <c r="E9" i="17" s="1"/>
  <c r="Y49" i="7"/>
  <c r="V78" i="1"/>
  <c r="V77" i="1"/>
  <c r="P8" i="7" s="1"/>
  <c r="D7" i="17" s="1"/>
  <c r="U68" i="1"/>
  <c r="U59" i="1"/>
  <c r="X59" i="1"/>
  <c r="O44" i="7" s="1"/>
  <c r="F6" i="18" s="1"/>
  <c r="Y18" i="7"/>
  <c r="M106" i="1"/>
  <c r="X13" i="7"/>
  <c r="U7" i="7"/>
  <c r="W12" i="7"/>
  <c r="L106" i="1"/>
  <c r="X52" i="7"/>
  <c r="X7" i="7"/>
  <c r="Y6" i="7"/>
  <c r="F101" i="1"/>
  <c r="V44" i="1"/>
  <c r="U42" i="1"/>
  <c r="U78" i="1"/>
  <c r="N100" i="1"/>
  <c r="W55" i="7"/>
  <c r="G10" i="17"/>
  <c r="G7" i="18"/>
  <c r="M98" i="1"/>
  <c r="J97" i="1"/>
  <c r="J96" i="1"/>
  <c r="W48" i="7"/>
  <c r="G10" i="18"/>
  <c r="Q18" i="7"/>
  <c r="H52" i="7"/>
  <c r="Q46" i="7"/>
  <c r="W8" i="1"/>
  <c r="C46" i="7" s="1"/>
  <c r="N93" i="1"/>
  <c r="R103" i="1"/>
  <c r="R94" i="1"/>
  <c r="L96" i="1"/>
  <c r="W51" i="7"/>
  <c r="Q11" i="7"/>
  <c r="W46" i="7"/>
  <c r="W18" i="7"/>
  <c r="Q91" i="1"/>
  <c r="W53" i="7"/>
  <c r="G12" i="17"/>
  <c r="G7" i="17"/>
  <c r="G13" i="18"/>
  <c r="G9" i="18"/>
  <c r="H50" i="7"/>
  <c r="U15" i="1"/>
  <c r="C16" i="7" s="1"/>
  <c r="W7" i="1"/>
  <c r="V19" i="1"/>
  <c r="W54" i="1"/>
  <c r="E56" i="7" s="1"/>
  <c r="W54" i="7"/>
  <c r="L91" i="1"/>
  <c r="K12" i="1"/>
  <c r="I3" i="14"/>
  <c r="L101" i="1"/>
  <c r="L102" i="1"/>
  <c r="L104" i="1"/>
  <c r="I4" i="14"/>
  <c r="F106" i="1"/>
  <c r="U18" i="1"/>
  <c r="E51" i="7"/>
  <c r="W82" i="1"/>
  <c r="X81" i="1"/>
  <c r="V81" i="1"/>
  <c r="F45" i="7"/>
  <c r="E7" i="18" s="1"/>
  <c r="O53" i="7"/>
  <c r="F15" i="18" s="1"/>
  <c r="Q93" i="1"/>
  <c r="Q20" i="7"/>
  <c r="Q57" i="7"/>
  <c r="H57" i="7"/>
  <c r="G44" i="7"/>
  <c r="E6" i="17" s="1"/>
  <c r="F52" i="7"/>
  <c r="E14" i="18" s="1"/>
  <c r="M91" i="1"/>
  <c r="L100" i="1"/>
  <c r="X15" i="7"/>
  <c r="Q99" i="1"/>
  <c r="M105" i="1"/>
  <c r="Q102" i="1"/>
  <c r="AA16" i="7" s="1"/>
  <c r="X42" i="7"/>
  <c r="W10" i="7"/>
  <c r="G19" i="17"/>
  <c r="F93" i="1"/>
  <c r="N95" i="1"/>
  <c r="D10" i="7"/>
  <c r="D6" i="7"/>
  <c r="I96" i="1"/>
  <c r="V42" i="1"/>
  <c r="P56" i="7"/>
  <c r="F18" i="17" s="1"/>
  <c r="V87" i="1"/>
  <c r="U86" i="1"/>
  <c r="V85" i="1"/>
  <c r="U84" i="1"/>
  <c r="V84" i="1"/>
  <c r="P14" i="7"/>
  <c r="D13" i="17" s="1"/>
  <c r="V82" i="1"/>
  <c r="F5" i="7"/>
  <c r="C4" i="18" s="1"/>
  <c r="W63" i="1"/>
  <c r="U63" i="1"/>
  <c r="U67" i="1"/>
  <c r="V66" i="1"/>
  <c r="V67" i="1"/>
  <c r="U10" i="1"/>
  <c r="C11" i="7" s="1"/>
  <c r="I97" i="1"/>
  <c r="N9" i="7"/>
  <c r="X75" i="1"/>
  <c r="V75" i="1"/>
  <c r="F9" i="7"/>
  <c r="C8" i="18" s="1"/>
  <c r="O17" i="7"/>
  <c r="D16" i="18" s="1"/>
  <c r="W44" i="7"/>
  <c r="Q94" i="1"/>
  <c r="Y50" i="7"/>
  <c r="Q98" i="1"/>
  <c r="M100" i="1"/>
  <c r="Y51" i="7"/>
  <c r="J92" i="1"/>
  <c r="L98" i="1"/>
  <c r="L92" i="1"/>
  <c r="W9" i="7"/>
  <c r="Q104" i="1"/>
  <c r="W7" i="7"/>
  <c r="G19" i="18"/>
  <c r="Q17" i="7"/>
  <c r="Q10" i="7"/>
  <c r="W4" i="1"/>
  <c r="U4" i="1"/>
  <c r="C5" i="7" s="1"/>
  <c r="N105" i="1"/>
  <c r="F98" i="1"/>
  <c r="U12" i="1"/>
  <c r="N98" i="1"/>
  <c r="U82" i="1"/>
  <c r="U76" i="1"/>
  <c r="W74" i="1"/>
  <c r="U74" i="1"/>
  <c r="X78" i="1"/>
  <c r="X66" i="1"/>
  <c r="W61" i="1"/>
  <c r="U60" i="1"/>
  <c r="I104" i="1"/>
  <c r="I100" i="1"/>
  <c r="R105" i="1"/>
  <c r="N103" i="1"/>
  <c r="N91" i="1"/>
  <c r="V91" i="1" s="1"/>
  <c r="I99" i="1"/>
  <c r="U54" i="1"/>
  <c r="W42" i="1"/>
  <c r="W81" i="1"/>
  <c r="V88" i="1"/>
  <c r="X84" i="1"/>
  <c r="P52" i="7" s="1"/>
  <c r="F14" i="17" s="1"/>
  <c r="W65" i="1"/>
  <c r="W12" i="1"/>
  <c r="C50" i="7" s="1"/>
  <c r="N92" i="1"/>
  <c r="I106" i="1"/>
  <c r="I102" i="1"/>
  <c r="I94" i="1"/>
  <c r="R106" i="1"/>
  <c r="N106" i="1"/>
  <c r="N104" i="1"/>
  <c r="R102" i="1"/>
  <c r="N102" i="1"/>
  <c r="V43" i="7"/>
  <c r="W51" i="1"/>
  <c r="E53" i="7" s="1"/>
  <c r="U87" i="1"/>
  <c r="W75" i="1"/>
  <c r="S100" i="1"/>
  <c r="X77" i="1"/>
  <c r="X69" i="1"/>
  <c r="R101" i="1"/>
  <c r="N101" i="1"/>
  <c r="X12" i="1"/>
  <c r="L50" i="7" s="1"/>
  <c r="F97" i="1"/>
  <c r="F95" i="1"/>
  <c r="S96" i="1"/>
  <c r="S94" i="1"/>
  <c r="W77" i="1"/>
  <c r="V86" i="1"/>
  <c r="M7" i="1"/>
  <c r="L94" i="1"/>
  <c r="X56" i="7"/>
  <c r="V44" i="7"/>
  <c r="Q105" i="1"/>
  <c r="AA19" i="7" s="1"/>
  <c r="J94" i="1"/>
  <c r="I7" i="14"/>
  <c r="G18" i="17"/>
  <c r="G16" i="18"/>
  <c r="H54" i="7"/>
  <c r="R98" i="1"/>
  <c r="V12" i="1"/>
  <c r="X15" i="1"/>
  <c r="L53" i="7" s="1"/>
  <c r="X41" i="1"/>
  <c r="X14" i="1"/>
  <c r="V14" i="1"/>
  <c r="Q97" i="1"/>
  <c r="Q100" i="1"/>
  <c r="V46" i="7"/>
  <c r="U19" i="7"/>
  <c r="U52" i="7"/>
  <c r="V45" i="7"/>
  <c r="Y52" i="7"/>
  <c r="I6" i="14"/>
  <c r="G13" i="17"/>
  <c r="G9" i="17"/>
  <c r="G5" i="17"/>
  <c r="Q6" i="7"/>
  <c r="N99" i="1"/>
  <c r="R92" i="1"/>
  <c r="V18" i="1"/>
  <c r="W11" i="1"/>
  <c r="I98" i="1"/>
  <c r="U11" i="1"/>
  <c r="I93" i="1"/>
  <c r="U6" i="1"/>
  <c r="R104" i="1"/>
  <c r="W50" i="1"/>
  <c r="W46" i="1"/>
  <c r="R97" i="1"/>
  <c r="X44" i="1"/>
  <c r="V42" i="7"/>
  <c r="U48" i="7"/>
  <c r="Q101" i="1"/>
  <c r="M92" i="1"/>
  <c r="I5" i="14"/>
  <c r="G16" i="17"/>
  <c r="H47" i="7"/>
  <c r="Q51" i="7"/>
  <c r="Q43" i="7"/>
  <c r="W14" i="1"/>
  <c r="C52" i="7" s="1"/>
  <c r="I101" i="1"/>
  <c r="U14" i="1"/>
  <c r="W10" i="1"/>
  <c r="C48" i="7" s="1"/>
  <c r="I95" i="1"/>
  <c r="U8" i="1"/>
  <c r="D9" i="7"/>
  <c r="W55" i="1"/>
  <c r="W52" i="1"/>
  <c r="W48" i="1"/>
  <c r="V15" i="1"/>
  <c r="X13" i="1"/>
  <c r="W47" i="1"/>
  <c r="W44" i="1"/>
  <c r="W41" i="1"/>
  <c r="X42" i="1"/>
  <c r="U105" i="1"/>
  <c r="W31" i="1"/>
  <c r="W27" i="1"/>
  <c r="W23" i="1"/>
  <c r="W26" i="1"/>
  <c r="W24" i="1"/>
  <c r="W22" i="1"/>
  <c r="W43" i="1"/>
  <c r="W40" i="1"/>
  <c r="X45" i="1"/>
  <c r="C41" i="3"/>
  <c r="C40" i="3"/>
  <c r="C25" i="3"/>
  <c r="C24" i="3"/>
  <c r="C65" i="3"/>
  <c r="C64" i="3"/>
  <c r="U50" i="7"/>
  <c r="U13" i="7"/>
  <c r="U53" i="7"/>
  <c r="Q106" i="1"/>
  <c r="W14" i="7"/>
  <c r="C33" i="3"/>
  <c r="U11" i="7"/>
  <c r="V5" i="7"/>
  <c r="V9" i="7"/>
  <c r="U8" i="7"/>
  <c r="U55" i="7"/>
  <c r="V6" i="7"/>
  <c r="W16" i="7"/>
  <c r="X18" i="7"/>
  <c r="Y57" i="7"/>
  <c r="Q92" i="1"/>
  <c r="U9" i="7"/>
  <c r="U49" i="7"/>
  <c r="V7" i="7"/>
  <c r="V51" i="7"/>
  <c r="V20" i="7"/>
  <c r="W43" i="7"/>
  <c r="Q96" i="1"/>
  <c r="W13" i="7"/>
  <c r="W19" i="7"/>
  <c r="W56" i="7"/>
  <c r="L105" i="1"/>
  <c r="I19" i="7"/>
  <c r="Q49" i="7"/>
  <c r="Q12" i="7"/>
  <c r="Q56" i="7"/>
  <c r="H56" i="7"/>
  <c r="Q19" i="7"/>
  <c r="Q14" i="7"/>
  <c r="Q45" i="7"/>
  <c r="Q8" i="7"/>
  <c r="W17" i="1"/>
  <c r="U17" i="1"/>
  <c r="X4" i="1"/>
  <c r="V4" i="1"/>
  <c r="V34" i="1"/>
  <c r="V32" i="1"/>
  <c r="V30" i="1"/>
  <c r="V28" i="1"/>
  <c r="X27" i="1"/>
  <c r="V27" i="1"/>
  <c r="X26" i="1"/>
  <c r="V26" i="1"/>
  <c r="X25" i="1"/>
  <c r="V25" i="1"/>
  <c r="X24" i="1"/>
  <c r="V24" i="1"/>
  <c r="X23" i="1"/>
  <c r="V23" i="1"/>
  <c r="W18" i="1"/>
  <c r="X16" i="1"/>
  <c r="U19" i="1"/>
  <c r="U5" i="1"/>
  <c r="W5" i="1"/>
  <c r="X55" i="1"/>
  <c r="V55" i="1"/>
  <c r="X52" i="1"/>
  <c r="V52" i="1"/>
  <c r="X47" i="1"/>
  <c r="V47" i="1"/>
  <c r="X40" i="1"/>
  <c r="V40" i="1"/>
  <c r="U9" i="1"/>
  <c r="W9" i="1"/>
  <c r="V16" i="1"/>
  <c r="V17" i="1"/>
  <c r="U16" i="1"/>
  <c r="V10" i="1"/>
  <c r="X10" i="1"/>
  <c r="V5" i="1"/>
  <c r="X5" i="1"/>
  <c r="W29" i="1"/>
  <c r="W25" i="1"/>
  <c r="V37" i="1"/>
  <c r="V35" i="1"/>
  <c r="V33" i="1"/>
  <c r="X31" i="1"/>
  <c r="V31" i="1"/>
  <c r="V29" i="1"/>
  <c r="X22" i="1"/>
  <c r="V22" i="1"/>
  <c r="X54" i="1"/>
  <c r="V54" i="1"/>
  <c r="X49" i="1"/>
  <c r="V49" i="1"/>
  <c r="X46" i="1"/>
  <c r="V46" i="1"/>
  <c r="W83" i="1"/>
  <c r="X83" i="1"/>
  <c r="U13" i="1"/>
  <c r="W13" i="1"/>
  <c r="X18" i="1"/>
  <c r="X17" i="1"/>
  <c r="W16" i="1"/>
  <c r="X11" i="1"/>
  <c r="V11" i="1"/>
  <c r="X8" i="1"/>
  <c r="V8" i="1"/>
  <c r="X51" i="1"/>
  <c r="V51" i="1"/>
  <c r="X48" i="1"/>
  <c r="V48" i="1"/>
  <c r="X79" i="1"/>
  <c r="V79" i="1"/>
  <c r="W15" i="1"/>
  <c r="V9" i="1"/>
  <c r="X9" i="1"/>
  <c r="V6" i="1"/>
  <c r="X6" i="1"/>
  <c r="V36" i="1"/>
  <c r="X53" i="1"/>
  <c r="V53" i="1"/>
  <c r="X50" i="1"/>
  <c r="V50" i="1"/>
  <c r="X43" i="1"/>
  <c r="V43" i="1"/>
  <c r="X80" i="1"/>
  <c r="V80" i="1"/>
  <c r="V74" i="1"/>
  <c r="X74" i="1"/>
  <c r="W62" i="1"/>
  <c r="U62" i="1"/>
  <c r="X70" i="1"/>
  <c r="X63" i="1"/>
  <c r="V63" i="1"/>
  <c r="V58" i="1"/>
  <c r="X58" i="1"/>
  <c r="X57" i="1"/>
  <c r="V57" i="1"/>
  <c r="V13" i="1"/>
  <c r="U52" i="1"/>
  <c r="U48" i="1"/>
  <c r="U44" i="1"/>
  <c r="U40" i="1"/>
  <c r="W53" i="1"/>
  <c r="W45" i="1"/>
  <c r="K110" i="10"/>
  <c r="X82" i="1"/>
  <c r="W66" i="1"/>
  <c r="U66" i="1"/>
  <c r="X71" i="1"/>
  <c r="X60" i="1"/>
  <c r="V60" i="1"/>
  <c r="X76" i="1"/>
  <c r="V76" i="1"/>
  <c r="W70" i="1"/>
  <c r="U70" i="1"/>
  <c r="V70" i="1"/>
  <c r="U71" i="1"/>
  <c r="V71" i="1"/>
  <c r="X64" i="1"/>
  <c r="V64" i="1"/>
  <c r="V62" i="1"/>
  <c r="X62" i="1"/>
  <c r="U55" i="1"/>
  <c r="U51" i="1"/>
  <c r="U49" i="1"/>
  <c r="U47" i="1"/>
  <c r="U43" i="1"/>
  <c r="U41" i="1"/>
  <c r="W58" i="1"/>
  <c r="U58" i="1"/>
  <c r="V72" i="1"/>
  <c r="U72" i="1"/>
  <c r="X65" i="1"/>
  <c r="V65" i="1"/>
  <c r="U89" i="1"/>
  <c r="U85" i="1"/>
  <c r="U81" i="1"/>
  <c r="U77" i="1"/>
  <c r="W69" i="1"/>
  <c r="S97" i="1" l="1"/>
  <c r="X97" i="1" s="1"/>
  <c r="R48" i="7" s="1"/>
  <c r="W72" i="1"/>
  <c r="F57" i="7" s="1"/>
  <c r="E19" i="18" s="1"/>
  <c r="X72" i="1"/>
  <c r="X57" i="7"/>
  <c r="X14" i="14" s="1"/>
  <c r="V107" i="1"/>
  <c r="U107" i="1"/>
  <c r="V57" i="7"/>
  <c r="X37" i="1"/>
  <c r="W37" i="1"/>
  <c r="D57" i="7" s="1"/>
  <c r="S105" i="1"/>
  <c r="X36" i="1"/>
  <c r="M56" i="7" s="1"/>
  <c r="V56" i="7"/>
  <c r="W36" i="1"/>
  <c r="D56" i="7" s="1"/>
  <c r="W35" i="1"/>
  <c r="V55" i="7"/>
  <c r="X35" i="1"/>
  <c r="X34" i="1"/>
  <c r="M54" i="7" s="1"/>
  <c r="V54" i="7"/>
  <c r="W28" i="1"/>
  <c r="V50" i="7"/>
  <c r="V48" i="7"/>
  <c r="W107" i="1"/>
  <c r="X107" i="1"/>
  <c r="V52" i="7"/>
  <c r="X29" i="1"/>
  <c r="M49" i="7" s="1"/>
  <c r="X33" i="1"/>
  <c r="M53" i="7" s="1"/>
  <c r="W33" i="1"/>
  <c r="W32" i="1"/>
  <c r="X32" i="1"/>
  <c r="M52" i="7" s="1"/>
  <c r="V49" i="7"/>
  <c r="W19" i="1"/>
  <c r="S106" i="1"/>
  <c r="X106" i="1" s="1"/>
  <c r="R57" i="7" s="1"/>
  <c r="U57" i="7"/>
  <c r="U14" i="14" s="1"/>
  <c r="X19" i="1"/>
  <c r="L57" i="7" s="1"/>
  <c r="W30" i="1"/>
  <c r="X30" i="1"/>
  <c r="L20" i="7"/>
  <c r="V61" i="1"/>
  <c r="M95" i="1"/>
  <c r="N10" i="7"/>
  <c r="C8" i="7"/>
  <c r="AA17" i="7"/>
  <c r="V102" i="1"/>
  <c r="E44" i="7"/>
  <c r="V101" i="1"/>
  <c r="R15" i="7" s="1"/>
  <c r="AA18" i="7"/>
  <c r="Y7" i="14"/>
  <c r="U92" i="1"/>
  <c r="V105" i="1"/>
  <c r="C44" i="7"/>
  <c r="E7" i="7"/>
  <c r="Y6" i="14"/>
  <c r="V96" i="1"/>
  <c r="W91" i="1"/>
  <c r="W92" i="1"/>
  <c r="AA50" i="7"/>
  <c r="AA42" i="7"/>
  <c r="W96" i="1"/>
  <c r="AA5" i="7"/>
  <c r="U91" i="1"/>
  <c r="V92" i="1"/>
  <c r="R6" i="7" s="1"/>
  <c r="E11" i="7"/>
  <c r="Y5" i="14"/>
  <c r="AA9" i="7"/>
  <c r="X91" i="1"/>
  <c r="AA8" i="7"/>
  <c r="Y4" i="14"/>
  <c r="U101" i="1"/>
  <c r="I15" i="7" s="1"/>
  <c r="W97" i="1"/>
  <c r="U97" i="1"/>
  <c r="U102" i="1"/>
  <c r="I16" i="7" s="1"/>
  <c r="Y3" i="14"/>
  <c r="U96" i="1"/>
  <c r="X100" i="1"/>
  <c r="U99" i="1"/>
  <c r="U100" i="1"/>
  <c r="F49" i="7"/>
  <c r="E11" i="18" s="1"/>
  <c r="AA45" i="7"/>
  <c r="G9" i="7"/>
  <c r="C8" i="17" s="1"/>
  <c r="U104" i="1"/>
  <c r="I18" i="7" s="1"/>
  <c r="V104" i="1"/>
  <c r="V100" i="1"/>
  <c r="P9" i="7"/>
  <c r="D8" i="17" s="1"/>
  <c r="F16" i="7"/>
  <c r="C15" i="18" s="1"/>
  <c r="G48" i="7"/>
  <c r="E10" i="17" s="1"/>
  <c r="U103" i="1"/>
  <c r="V103" i="1"/>
  <c r="AA13" i="7"/>
  <c r="F7" i="7"/>
  <c r="C6" i="18" s="1"/>
  <c r="O7" i="7"/>
  <c r="D6" i="18" s="1"/>
  <c r="W105" i="1"/>
  <c r="I56" i="7" s="1"/>
  <c r="C45" i="7"/>
  <c r="W95" i="1"/>
  <c r="I46" i="7" s="1"/>
  <c r="X96" i="1"/>
  <c r="W100" i="1"/>
  <c r="AA46" i="7"/>
  <c r="W106" i="1"/>
  <c r="G7" i="7"/>
  <c r="C6" i="17" s="1"/>
  <c r="W93" i="1"/>
  <c r="I44" i="7" s="1"/>
  <c r="U94" i="1"/>
  <c r="P19" i="7"/>
  <c r="D18" i="17" s="1"/>
  <c r="O51" i="7"/>
  <c r="F13" i="18" s="1"/>
  <c r="P43" i="7"/>
  <c r="F5" i="17" s="1"/>
  <c r="P16" i="7"/>
  <c r="D15" i="17" s="1"/>
  <c r="W94" i="1"/>
  <c r="I45" i="7" s="1"/>
  <c r="U93" i="1"/>
  <c r="V106" i="1"/>
  <c r="AA7" i="7"/>
  <c r="G49" i="7"/>
  <c r="E11" i="17" s="1"/>
  <c r="G13" i="7"/>
  <c r="C12" i="17" s="1"/>
  <c r="C42" i="7"/>
  <c r="G17" i="7"/>
  <c r="C16" i="17" s="1"/>
  <c r="N7" i="7"/>
  <c r="I16" i="14"/>
  <c r="W4" i="14"/>
  <c r="AA12" i="7"/>
  <c r="D5" i="14"/>
  <c r="X93" i="1"/>
  <c r="AA44" i="7"/>
  <c r="P45" i="7"/>
  <c r="F7" i="17" s="1"/>
  <c r="F50" i="7"/>
  <c r="E12" i="18" s="1"/>
  <c r="F8" i="7"/>
  <c r="C7" i="18" s="1"/>
  <c r="G5" i="7"/>
  <c r="C4" i="17" s="1"/>
  <c r="V98" i="1"/>
  <c r="O15" i="7"/>
  <c r="D14" i="18" s="1"/>
  <c r="F48" i="7"/>
  <c r="E10" i="18" s="1"/>
  <c r="P15" i="7"/>
  <c r="D14" i="17" s="1"/>
  <c r="P18" i="7"/>
  <c r="D17" i="17" s="1"/>
  <c r="V93" i="1"/>
  <c r="P12" i="7"/>
  <c r="D11" i="17" s="1"/>
  <c r="G50" i="7"/>
  <c r="E12" i="17" s="1"/>
  <c r="J13" i="1"/>
  <c r="K99" i="1"/>
  <c r="G45" i="7"/>
  <c r="E7" i="17" s="1"/>
  <c r="G43" i="7"/>
  <c r="E5" i="17" s="1"/>
  <c r="F15" i="7"/>
  <c r="C14" i="18" s="1"/>
  <c r="O54" i="7"/>
  <c r="F16" i="18" s="1"/>
  <c r="G18" i="7"/>
  <c r="C17" i="17" s="1"/>
  <c r="P46" i="7"/>
  <c r="F8" i="17" s="1"/>
  <c r="F11" i="7"/>
  <c r="C10" i="18" s="1"/>
  <c r="W98" i="1"/>
  <c r="U98" i="1"/>
  <c r="X16" i="14"/>
  <c r="P17" i="7"/>
  <c r="D16" i="17" s="1"/>
  <c r="U106" i="1"/>
  <c r="E19" i="7"/>
  <c r="F46" i="7"/>
  <c r="E8" i="18" s="1"/>
  <c r="G42" i="7"/>
  <c r="E4" i="17" s="1"/>
  <c r="C13" i="7"/>
  <c r="P6" i="7"/>
  <c r="D5" i="17" s="1"/>
  <c r="O14" i="7"/>
  <c r="D13" i="18" s="1"/>
  <c r="P13" i="7"/>
  <c r="D12" i="17" s="1"/>
  <c r="G15" i="7"/>
  <c r="C14" i="17" s="1"/>
  <c r="X95" i="1"/>
  <c r="V95" i="1"/>
  <c r="V97" i="1"/>
  <c r="P49" i="7"/>
  <c r="F11" i="17" s="1"/>
  <c r="C19" i="7"/>
  <c r="D44" i="7"/>
  <c r="E50" i="7"/>
  <c r="D4" i="14"/>
  <c r="E42" i="7"/>
  <c r="D46" i="7"/>
  <c r="D54" i="7"/>
  <c r="D55" i="7"/>
  <c r="E43" i="7"/>
  <c r="L16" i="7"/>
  <c r="E54" i="7"/>
  <c r="N46" i="7"/>
  <c r="W101" i="1"/>
  <c r="AA52" i="7"/>
  <c r="C12" i="7"/>
  <c r="AA14" i="7"/>
  <c r="AA51" i="7"/>
  <c r="L52" i="7"/>
  <c r="X98" i="1"/>
  <c r="D6" i="14"/>
  <c r="N47" i="7"/>
  <c r="D51" i="7"/>
  <c r="N44" i="7"/>
  <c r="L51" i="7"/>
  <c r="E52" i="7"/>
  <c r="L19" i="7"/>
  <c r="AA15" i="7"/>
  <c r="E45" i="7"/>
  <c r="D48" i="7"/>
  <c r="D43" i="7"/>
  <c r="E46" i="7"/>
  <c r="X92" i="1"/>
  <c r="E57" i="7"/>
  <c r="R5" i="7"/>
  <c r="C15" i="7"/>
  <c r="X99" i="1"/>
  <c r="V99" i="1"/>
  <c r="AA11" i="7"/>
  <c r="N43" i="7"/>
  <c r="U95" i="1"/>
  <c r="D52" i="7"/>
  <c r="L15" i="7"/>
  <c r="L13" i="7"/>
  <c r="D3" i="14"/>
  <c r="D42" i="7"/>
  <c r="D50" i="7"/>
  <c r="D47" i="7"/>
  <c r="E49" i="7"/>
  <c r="C9" i="7"/>
  <c r="D7" i="14"/>
  <c r="E48" i="7"/>
  <c r="C7" i="7"/>
  <c r="C49" i="7"/>
  <c r="AA56" i="7"/>
  <c r="X105" i="1"/>
  <c r="W99" i="1"/>
  <c r="X101" i="1"/>
  <c r="N7" i="1"/>
  <c r="M94" i="1"/>
  <c r="AA49" i="7"/>
  <c r="F54" i="7"/>
  <c r="E16" i="18" s="1"/>
  <c r="G20" i="7"/>
  <c r="C19" i="17" s="1"/>
  <c r="O20" i="7"/>
  <c r="D19" i="18" s="1"/>
  <c r="E6" i="7"/>
  <c r="E16" i="7"/>
  <c r="O47" i="7"/>
  <c r="F9" i="18" s="1"/>
  <c r="O19" i="7"/>
  <c r="D18" i="18" s="1"/>
  <c r="F18" i="7"/>
  <c r="C17" i="18" s="1"/>
  <c r="S85" i="1"/>
  <c r="K111" i="10"/>
  <c r="E9" i="7"/>
  <c r="O5" i="7"/>
  <c r="O11" i="7"/>
  <c r="D10" i="18" s="1"/>
  <c r="F10" i="7"/>
  <c r="C9" i="18" s="1"/>
  <c r="P11" i="7"/>
  <c r="D10" i="17" s="1"/>
  <c r="N52" i="7"/>
  <c r="L7" i="7"/>
  <c r="N50" i="7"/>
  <c r="L46" i="7"/>
  <c r="L55" i="7"/>
  <c r="C14" i="7"/>
  <c r="N11" i="7"/>
  <c r="N19" i="7"/>
  <c r="M20" i="7"/>
  <c r="L48" i="7"/>
  <c r="L17" i="7"/>
  <c r="N5" i="7"/>
  <c r="N17" i="7"/>
  <c r="C20" i="7"/>
  <c r="C56" i="7"/>
  <c r="M44" i="7"/>
  <c r="M46" i="7"/>
  <c r="M48" i="7"/>
  <c r="L5" i="7"/>
  <c r="R14" i="14"/>
  <c r="R15" i="14"/>
  <c r="R17" i="14"/>
  <c r="R16" i="14"/>
  <c r="R18" i="14"/>
  <c r="I14" i="14"/>
  <c r="V5" i="14"/>
  <c r="V6" i="14"/>
  <c r="V7" i="14"/>
  <c r="V3" i="14"/>
  <c r="V4" i="14"/>
  <c r="W6" i="14"/>
  <c r="G8" i="7"/>
  <c r="O13" i="7"/>
  <c r="D12" i="18" s="1"/>
  <c r="F6" i="7"/>
  <c r="E8" i="7"/>
  <c r="E20" i="7"/>
  <c r="O10" i="7"/>
  <c r="D9" i="18" s="1"/>
  <c r="F19" i="7"/>
  <c r="C18" i="18" s="1"/>
  <c r="F55" i="7"/>
  <c r="E17" i="18" s="1"/>
  <c r="O8" i="7"/>
  <c r="D7" i="18" s="1"/>
  <c r="F14" i="7"/>
  <c r="C13" i="18" s="1"/>
  <c r="E47" i="7"/>
  <c r="E13" i="7"/>
  <c r="O42" i="7"/>
  <c r="O48" i="7"/>
  <c r="F10" i="18" s="1"/>
  <c r="F47" i="7"/>
  <c r="E9" i="18" s="1"/>
  <c r="P48" i="7"/>
  <c r="F10" i="17" s="1"/>
  <c r="N8" i="7"/>
  <c r="N18" i="7"/>
  <c r="M19" i="7"/>
  <c r="L47" i="7"/>
  <c r="P10" i="7"/>
  <c r="D9" i="17" s="1"/>
  <c r="N16" i="7"/>
  <c r="L12" i="7"/>
  <c r="L56" i="7"/>
  <c r="N48" i="7"/>
  <c r="N56" i="7"/>
  <c r="M12" i="7"/>
  <c r="M16" i="7"/>
  <c r="L11" i="7"/>
  <c r="N42" i="7"/>
  <c r="N54" i="7"/>
  <c r="C57" i="7"/>
  <c r="M6" i="7"/>
  <c r="M8" i="7"/>
  <c r="M10" i="7"/>
  <c r="M13" i="7"/>
  <c r="M17" i="7"/>
  <c r="L42" i="7"/>
  <c r="I18" i="14"/>
  <c r="AA6" i="7"/>
  <c r="AA43" i="7"/>
  <c r="AA57" i="7"/>
  <c r="AA20" i="7"/>
  <c r="W7" i="14"/>
  <c r="G12" i="7"/>
  <c r="C11" i="17" s="1"/>
  <c r="O50" i="7"/>
  <c r="F12" i="18" s="1"/>
  <c r="F43" i="7"/>
  <c r="E12" i="7"/>
  <c r="O9" i="7"/>
  <c r="D8" i="18" s="1"/>
  <c r="O12" i="7"/>
  <c r="D11" i="18" s="1"/>
  <c r="O18" i="7"/>
  <c r="D17" i="18" s="1"/>
  <c r="P7" i="7"/>
  <c r="D6" i="17" s="1"/>
  <c r="O45" i="7"/>
  <c r="F7" i="18" s="1"/>
  <c r="F51" i="7"/>
  <c r="E13" i="18" s="1"/>
  <c r="E55" i="7"/>
  <c r="E17" i="7"/>
  <c r="O43" i="7"/>
  <c r="F5" i="18" s="1"/>
  <c r="O55" i="7"/>
  <c r="F17" i="18" s="1"/>
  <c r="P42" i="7"/>
  <c r="N45" i="7"/>
  <c r="N55" i="7"/>
  <c r="L10" i="7"/>
  <c r="P47" i="7"/>
  <c r="F9" i="17" s="1"/>
  <c r="N53" i="7"/>
  <c r="L49" i="7"/>
  <c r="P51" i="7"/>
  <c r="F13" i="17" s="1"/>
  <c r="N14" i="7"/>
  <c r="M5" i="7"/>
  <c r="M14" i="7"/>
  <c r="M18" i="7"/>
  <c r="D45" i="7"/>
  <c r="L43" i="7"/>
  <c r="C17" i="7"/>
  <c r="C47" i="7"/>
  <c r="N12" i="7"/>
  <c r="N20" i="7"/>
  <c r="C43" i="7"/>
  <c r="M43" i="7"/>
  <c r="M45" i="7"/>
  <c r="M47" i="7"/>
  <c r="M50" i="7"/>
  <c r="C18" i="7"/>
  <c r="I17" i="14"/>
  <c r="W18" i="14"/>
  <c r="W17" i="14"/>
  <c r="W14" i="14"/>
  <c r="W15" i="14"/>
  <c r="W16" i="14"/>
  <c r="X5" i="14"/>
  <c r="X7" i="14"/>
  <c r="X6" i="14"/>
  <c r="X4" i="14"/>
  <c r="X3" i="14"/>
  <c r="U5" i="14"/>
  <c r="U4" i="14"/>
  <c r="U6" i="14"/>
  <c r="U3" i="14"/>
  <c r="U7" i="14"/>
  <c r="W3" i="14"/>
  <c r="G16" i="7"/>
  <c r="C15" i="17" s="1"/>
  <c r="F20" i="7"/>
  <c r="C19" i="18" s="1"/>
  <c r="E14" i="7"/>
  <c r="O46" i="7"/>
  <c r="F8" i="18" s="1"/>
  <c r="O49" i="7"/>
  <c r="F11" i="18" s="1"/>
  <c r="O57" i="7"/>
  <c r="F19" i="18" s="1"/>
  <c r="P44" i="7"/>
  <c r="F6" i="17" s="1"/>
  <c r="O56" i="7"/>
  <c r="F18" i="18" s="1"/>
  <c r="P50" i="7"/>
  <c r="F12" i="17" s="1"/>
  <c r="E5" i="7"/>
  <c r="L14" i="7"/>
  <c r="O6" i="7"/>
  <c r="D5" i="18" s="1"/>
  <c r="P5" i="7"/>
  <c r="N15" i="7"/>
  <c r="L44" i="7"/>
  <c r="C53" i="7"/>
  <c r="N13" i="7"/>
  <c r="L9" i="7"/>
  <c r="C54" i="7"/>
  <c r="C51" i="7"/>
  <c r="G51" i="7"/>
  <c r="N51" i="7"/>
  <c r="M42" i="7"/>
  <c r="M51" i="7"/>
  <c r="M55" i="7"/>
  <c r="D49" i="7"/>
  <c r="L6" i="7"/>
  <c r="L18" i="7"/>
  <c r="C10" i="7"/>
  <c r="N49" i="7"/>
  <c r="N57" i="7"/>
  <c r="C6" i="7"/>
  <c r="L54" i="7"/>
  <c r="M7" i="7"/>
  <c r="M9" i="7"/>
  <c r="M11" i="7"/>
  <c r="M15" i="7"/>
  <c r="C55" i="7"/>
  <c r="I15" i="14"/>
  <c r="AA47" i="7"/>
  <c r="AA10" i="7"/>
  <c r="W5" i="14"/>
  <c r="AA48" i="7" l="1"/>
  <c r="U15" i="14"/>
  <c r="X18" i="14"/>
  <c r="V14" i="14"/>
  <c r="R19" i="7"/>
  <c r="X17" i="14"/>
  <c r="V16" i="14"/>
  <c r="X15" i="14"/>
  <c r="V17" i="14"/>
  <c r="M57" i="7"/>
  <c r="M16" i="14" s="1"/>
  <c r="V18" i="14"/>
  <c r="I43" i="7"/>
  <c r="V15" i="14"/>
  <c r="H6" i="14"/>
  <c r="U18" i="14"/>
  <c r="D53" i="7"/>
  <c r="D17" i="14" s="1"/>
  <c r="U17" i="14"/>
  <c r="U16" i="14"/>
  <c r="I48" i="7"/>
  <c r="I47" i="7"/>
  <c r="R42" i="7"/>
  <c r="I57" i="7"/>
  <c r="I13" i="7"/>
  <c r="I42" i="7"/>
  <c r="I11" i="7"/>
  <c r="I6" i="7"/>
  <c r="I5" i="7"/>
  <c r="R10" i="7"/>
  <c r="I12" i="7"/>
  <c r="R51" i="7"/>
  <c r="R17" i="7"/>
  <c r="R47" i="7"/>
  <c r="R16" i="7"/>
  <c r="I49" i="7"/>
  <c r="R44" i="7"/>
  <c r="I10" i="7"/>
  <c r="I14" i="7"/>
  <c r="R14" i="7"/>
  <c r="I17" i="7"/>
  <c r="R18" i="7"/>
  <c r="I51" i="7"/>
  <c r="J100" i="1"/>
  <c r="K13" i="1"/>
  <c r="R11" i="7"/>
  <c r="I20" i="7"/>
  <c r="R7" i="7"/>
  <c r="I7" i="7"/>
  <c r="I8" i="7"/>
  <c r="R46" i="7"/>
  <c r="R9" i="7"/>
  <c r="R12" i="7"/>
  <c r="R20" i="7"/>
  <c r="I50" i="7"/>
  <c r="I9" i="7"/>
  <c r="R50" i="7"/>
  <c r="I52" i="7"/>
  <c r="R13" i="7"/>
  <c r="R56" i="7"/>
  <c r="R52" i="7"/>
  <c r="N94" i="1"/>
  <c r="V7" i="1"/>
  <c r="X7" i="1"/>
  <c r="R43" i="7"/>
  <c r="R49" i="7"/>
  <c r="M14" i="14"/>
  <c r="M17" i="14"/>
  <c r="M18" i="14"/>
  <c r="E13" i="17"/>
  <c r="E3" i="14"/>
  <c r="E7" i="14"/>
  <c r="E5" i="14"/>
  <c r="E6" i="14"/>
  <c r="E4" i="14"/>
  <c r="F4" i="17"/>
  <c r="H7" i="14"/>
  <c r="H3" i="14"/>
  <c r="C4" i="14"/>
  <c r="C5" i="14"/>
  <c r="C6" i="14"/>
  <c r="C7" i="14"/>
  <c r="C3" i="14"/>
  <c r="P3" i="14"/>
  <c r="D4" i="17"/>
  <c r="P6" i="14"/>
  <c r="P4" i="14"/>
  <c r="P5" i="14"/>
  <c r="P7" i="14"/>
  <c r="M3" i="14"/>
  <c r="M7" i="14"/>
  <c r="M4" i="14"/>
  <c r="M5" i="14"/>
  <c r="M6" i="14"/>
  <c r="F17" i="14"/>
  <c r="E5" i="18"/>
  <c r="F15" i="14"/>
  <c r="F18" i="14"/>
  <c r="F16" i="14"/>
  <c r="F14" i="14"/>
  <c r="N3" i="14"/>
  <c r="N5" i="14"/>
  <c r="N7" i="14"/>
  <c r="N4" i="14"/>
  <c r="N6" i="14"/>
  <c r="S86" i="1"/>
  <c r="K112" i="10"/>
  <c r="S87" i="1" s="1"/>
  <c r="C16" i="14"/>
  <c r="C18" i="14"/>
  <c r="C15" i="14"/>
  <c r="C17" i="14"/>
  <c r="C14" i="14"/>
  <c r="D15" i="14"/>
  <c r="O14" i="14"/>
  <c r="F4" i="18"/>
  <c r="O15" i="14"/>
  <c r="O16" i="14"/>
  <c r="O18" i="14"/>
  <c r="O17" i="14"/>
  <c r="E16" i="14"/>
  <c r="E15" i="14"/>
  <c r="E18" i="14"/>
  <c r="E17" i="14"/>
  <c r="E14" i="14"/>
  <c r="O3" i="14"/>
  <c r="O5" i="14"/>
  <c r="O7" i="14"/>
  <c r="D4" i="18"/>
  <c r="O4" i="14"/>
  <c r="O6" i="14"/>
  <c r="X85" i="1"/>
  <c r="S102" i="1"/>
  <c r="Y53" i="7"/>
  <c r="W85" i="1"/>
  <c r="N14" i="14"/>
  <c r="N18" i="14"/>
  <c r="N15" i="14"/>
  <c r="N17" i="14"/>
  <c r="N16" i="14"/>
  <c r="F5" i="14"/>
  <c r="C5" i="18"/>
  <c r="F6" i="14"/>
  <c r="F4" i="14"/>
  <c r="F7" i="14"/>
  <c r="F3" i="14"/>
  <c r="C7" i="17"/>
  <c r="G7" i="14"/>
  <c r="G4" i="14"/>
  <c r="G6" i="14"/>
  <c r="G5" i="14"/>
  <c r="G3" i="14"/>
  <c r="D18" i="14" l="1"/>
  <c r="D14" i="14"/>
  <c r="M15" i="14"/>
  <c r="D16" i="14"/>
  <c r="H5" i="14"/>
  <c r="H4" i="14"/>
  <c r="J14" i="1"/>
  <c r="K100" i="1"/>
  <c r="L45" i="7"/>
  <c r="L8" i="7"/>
  <c r="V94" i="1"/>
  <c r="X94" i="1"/>
  <c r="X86" i="1"/>
  <c r="S103" i="1"/>
  <c r="Y54" i="7"/>
  <c r="W86" i="1"/>
  <c r="X102" i="1"/>
  <c r="AA53" i="7"/>
  <c r="W102" i="1"/>
  <c r="G53" i="7"/>
  <c r="P53" i="7"/>
  <c r="W87" i="1"/>
  <c r="X87" i="1"/>
  <c r="S104" i="1"/>
  <c r="Y55" i="7"/>
  <c r="Y15" i="14" l="1"/>
  <c r="K14" i="1"/>
  <c r="J101" i="1"/>
  <c r="R45" i="7"/>
  <c r="L3" i="14"/>
  <c r="L4" i="14"/>
  <c r="L5" i="14"/>
  <c r="L7" i="14"/>
  <c r="L6" i="14"/>
  <c r="R8" i="7"/>
  <c r="L14" i="14"/>
  <c r="L17" i="14"/>
  <c r="L15" i="14"/>
  <c r="L18" i="14"/>
  <c r="L16" i="14"/>
  <c r="Q4" i="14"/>
  <c r="Q7" i="14"/>
  <c r="Q5" i="14"/>
  <c r="Q6" i="14"/>
  <c r="Q3" i="14"/>
  <c r="X104" i="1"/>
  <c r="AA55" i="7"/>
  <c r="W104" i="1"/>
  <c r="Y16" i="14"/>
  <c r="W103" i="1"/>
  <c r="X103" i="1"/>
  <c r="AA54" i="7"/>
  <c r="P55" i="7"/>
  <c r="F17" i="17" s="1"/>
  <c r="E15" i="17"/>
  <c r="Y18" i="14"/>
  <c r="Y17" i="14"/>
  <c r="P54" i="7"/>
  <c r="F16" i="17" s="1"/>
  <c r="G55" i="7"/>
  <c r="E17" i="17" s="1"/>
  <c r="F15" i="17"/>
  <c r="R53" i="7"/>
  <c r="Y14" i="14"/>
  <c r="G54" i="7"/>
  <c r="E16" i="17" s="1"/>
  <c r="I53" i="7"/>
  <c r="P14" i="14" l="1"/>
  <c r="P17" i="14"/>
  <c r="K101" i="1"/>
  <c r="J15" i="1"/>
  <c r="P16" i="14"/>
  <c r="G14" i="14"/>
  <c r="H16" i="14"/>
  <c r="P15" i="14"/>
  <c r="I55" i="7"/>
  <c r="H14" i="14"/>
  <c r="G17" i="14"/>
  <c r="G15" i="14"/>
  <c r="Q15" i="14"/>
  <c r="R54" i="7"/>
  <c r="G16" i="14"/>
  <c r="Q16" i="14"/>
  <c r="I54" i="7"/>
  <c r="P18" i="14"/>
  <c r="G18" i="14"/>
  <c r="Q14" i="14"/>
  <c r="Q17" i="14"/>
  <c r="H17" i="14"/>
  <c r="H15" i="14"/>
  <c r="Q18" i="14"/>
  <c r="H18" i="14"/>
  <c r="R55" i="7"/>
  <c r="J102" i="1" l="1"/>
  <c r="K15" i="1"/>
  <c r="J16" i="1" l="1"/>
  <c r="K102" i="1"/>
  <c r="J103" i="1" l="1"/>
  <c r="K16" i="1"/>
  <c r="J17" i="1" l="1"/>
  <c r="K103" i="1"/>
  <c r="K17" i="1" l="1"/>
  <c r="J104" i="1"/>
  <c r="J18" i="1" l="1"/>
  <c r="K104" i="1"/>
  <c r="K18" i="1" l="1"/>
  <c r="J105" i="1"/>
  <c r="K105" i="1" l="1"/>
  <c r="J19" i="1"/>
  <c r="J106" i="1" l="1"/>
  <c r="K19" i="1"/>
  <c r="K106" i="1" l="1"/>
  <c r="J20" i="1"/>
  <c r="K20" i="1" l="1"/>
  <c r="K107" i="1" s="1"/>
  <c r="J10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Cristiano Campos</author>
  </authors>
  <commentList>
    <comment ref="L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Cristiano Campos
</t>
        </r>
        <r>
          <rPr>
            <sz val="9"/>
            <color indexed="81"/>
            <rFont val="Segoe UI"/>
            <family val="2"/>
          </rPr>
          <t xml:space="preserve">Ajuste a avaliação patrimonial do ano 2 - ano 1 </t>
        </r>
      </text>
    </comment>
    <comment ref="M1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Cristiano Campos:</t>
        </r>
        <r>
          <rPr>
            <sz val="9"/>
            <color indexed="81"/>
            <rFont val="Segoe UI"/>
            <family val="2"/>
          </rPr>
          <t xml:space="preserve">
Não foi encontrado o demonstrativo de resultado do valor abrangente</t>
        </r>
      </text>
    </comment>
    <comment ref="O10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Cristiano Campos:</t>
        </r>
        <r>
          <rPr>
            <sz val="9"/>
            <color indexed="81"/>
            <rFont val="Segoe UI"/>
            <family val="2"/>
          </rPr>
          <t xml:space="preserve">
Os valores tiveram que ser calculados a parte. Tendo em vista que nas demosntrações financeiras só tinha o valor somado dos dois tipo de remuneração.
</t>
        </r>
      </text>
    </comment>
    <comment ref="M11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Cristiano Campos:</t>
        </r>
        <r>
          <rPr>
            <sz val="9"/>
            <color indexed="81"/>
            <rFont val="Segoe UI"/>
            <family val="2"/>
          </rPr>
          <t xml:space="preserve">
Não foi encontrada demosntração do Resultado abrangente
</t>
        </r>
      </text>
    </comment>
    <comment ref="J22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Cristiano Campos:</t>
        </r>
        <r>
          <rPr>
            <sz val="9"/>
            <color indexed="81"/>
            <rFont val="Segoe UI"/>
            <family val="2"/>
          </rPr>
          <t xml:space="preserve">
Nesse ano não teve saldo em Ajuste a  avaliação patrimonial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Cristiano Campos</author>
  </authors>
  <commentList>
    <comment ref="H15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Cristiano Campos:</t>
        </r>
        <r>
          <rPr>
            <sz val="9"/>
            <color indexed="81"/>
            <rFont val="Segoe UI"/>
            <family val="2"/>
          </rPr>
          <t xml:space="preserve">
VALOR DO EMPRESTIMO PEGO NO MERCADO</t>
        </r>
      </text>
    </comment>
    <comment ref="H35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Cristiano Campos:</t>
        </r>
        <r>
          <rPr>
            <sz val="9"/>
            <color indexed="81"/>
            <rFont val="Segoe UI"/>
            <family val="2"/>
          </rPr>
          <t xml:space="preserve">
Valor do 1° instrumento captado 
</t>
        </r>
      </text>
    </comment>
  </commentList>
</comments>
</file>

<file path=xl/sharedStrings.xml><?xml version="1.0" encoding="utf-8"?>
<sst xmlns="http://schemas.openxmlformats.org/spreadsheetml/2006/main" count="1938" uniqueCount="421">
  <si>
    <t>Banco</t>
  </si>
  <si>
    <t>Ano</t>
  </si>
  <si>
    <t>PL total</t>
  </si>
  <si>
    <t>%</t>
  </si>
  <si>
    <t>PL da União</t>
  </si>
  <si>
    <t>Ativo T</t>
  </si>
  <si>
    <t>Lucro Liquido</t>
  </si>
  <si>
    <t>LL da União</t>
  </si>
  <si>
    <t>Ajuste a Avaliação patrimonial Ano anterior</t>
  </si>
  <si>
    <t>Ajuste a Avaliação Patrimonial Ano atual</t>
  </si>
  <si>
    <t>Outros Resultados Abrangentes</t>
  </si>
  <si>
    <t>Lucro Abrangente</t>
  </si>
  <si>
    <t>LA da União</t>
  </si>
  <si>
    <t>Dividendos distribuidos para união</t>
  </si>
  <si>
    <t xml:space="preserve">JCP distribuida para união </t>
  </si>
  <si>
    <t>Dividendo + JSCP da União</t>
  </si>
  <si>
    <t xml:space="preserve">Instrumentos de div com a união </t>
  </si>
  <si>
    <t>Remuneração da Divida</t>
  </si>
  <si>
    <t>ROE tes</t>
  </si>
  <si>
    <t>ROEABR tes</t>
  </si>
  <si>
    <t>ROEAJ tes</t>
  </si>
  <si>
    <t>ROEABRAJ tes</t>
  </si>
  <si>
    <t>Selic</t>
  </si>
  <si>
    <t>Banco do Brasil</t>
  </si>
  <si>
    <t>-</t>
  </si>
  <si>
    <t>OBS: Preenchi os dados de 2001 usando o relátorio de 2002</t>
  </si>
  <si>
    <t>Caixa</t>
  </si>
  <si>
    <t>OBS: Preenchi os dados de 2001 usando o relatorio de 2002. achei muito interessante o banco nesse ano ter apurado um prejuizo grande. Porem ainda não consegui achar relatorio antes de 2002</t>
  </si>
  <si>
    <t>OBS: Para esse ano houve o mesmo ocorrido no ativo total. No ano de 2007 foi divulgado 249636819 e no relatório de 2008 o valor é de 253757011. Para o P liquido o mesmo caso no relatorio de 2007 esta 10585909 e em 2008 10585470.  Para o lucro liquido o mesmo caso no relatorio de 2007 esta 2510098 e em 2008 2392454</t>
  </si>
  <si>
    <t>OBS: Para esse ano houve o mesmo ocorrido no ativo total. No ano de 2009 foi divulgado 341831823 e no relatório de 2010 o valor é de 341311618. Para o lucro liquido o mesmo caso no relatorio de 2009 esta 2999706 e em 2010 3000298</t>
  </si>
  <si>
    <t>OBS Nesse ano tiveram divergencias no valor do ativo total no relatoria de 2013 aparece 703207597 no de 2012 702.894.971. A mesma coisa com o valor do PL total que no relatorio de 2013 esta 24046281 e no de 2012 esta 25056944. A mesma coisa o LL. No relatorio de 2013 5639608 no de 2012 6066054</t>
  </si>
  <si>
    <t>BNDES</t>
  </si>
  <si>
    <t xml:space="preserve">OBS: Apartir no balanço não encontrou-se Ajuste a avaliação Patrimonial e Passou a encontrar Reserva de Reavaliação de ativos investidas </t>
  </si>
  <si>
    <t>OBS nesse ano tiveram divergencias no valor do Obrigações com a união. No relatório de 2007 o valor divulgado é de4.336.010 e no relátório de 2015 8235190</t>
  </si>
  <si>
    <t>OBS nesse ano tiveram divergencias no valor do patrimonio liquido. No relatório de 2014 o valor divulgado é de 66276468 e no relátório de 2015 30737492</t>
  </si>
  <si>
    <t>BASA</t>
  </si>
  <si>
    <t>BNB</t>
  </si>
  <si>
    <t>GERAL</t>
  </si>
  <si>
    <t>BNDES - traduç</t>
  </si>
  <si>
    <t>Remuneração da dívida BB</t>
  </si>
  <si>
    <t>ANO</t>
  </si>
  <si>
    <t>Remuneração a.a.</t>
  </si>
  <si>
    <t>Valor emitido</t>
  </si>
  <si>
    <t>Data da Captação</t>
  </si>
  <si>
    <t>Traferencia para o P.L.</t>
  </si>
  <si>
    <t>Valor do ano anterior</t>
  </si>
  <si>
    <t>Valor do Ano</t>
  </si>
  <si>
    <t>Possivel valor da remuneração no Ano</t>
  </si>
  <si>
    <t xml:space="preserve">Valor da Remuneração </t>
  </si>
  <si>
    <t>Obs</t>
  </si>
  <si>
    <t>.</t>
  </si>
  <si>
    <t>Será desconsiderada essa ereclassificação de 8100000 para o PL. Sendo ajustado no resultado.</t>
  </si>
  <si>
    <t>No ano de 2014 o B.B. reclassificou 8.100.000 K para o patrimonio liquido. Valor esse que foi reclassificado de volta para o Passivo no ano seguinte. Como remuneração foi ultilizado o saldo do ano anterior multiplicado pela Taxa de remuneração ao ano apresentada nas notas explicativas. Como forma de calcular o valor correto da remuneração e não utilizar o valor reclassificado em duplicidade, foi ajustado o valor do patrimonio liquido do ano de 2013.</t>
  </si>
  <si>
    <t>Remuneração da dívida CEF</t>
  </si>
  <si>
    <t>obs</t>
  </si>
  <si>
    <t>Medida provisória 347</t>
  </si>
  <si>
    <t>Medida provisoria 470</t>
  </si>
  <si>
    <t>Medida provisoria 581</t>
  </si>
  <si>
    <t>Medida provisoria 620</t>
  </si>
  <si>
    <t xml:space="preserve">Nos periodos anteriores ao ano de 2007 não foi identificado esse tipo de operação sendo realizado pela Caixa Econômica Federal. A partir do ano de 2013 pela Resolução CMN nº 4.192/13  que determina, para fins de divulgação das demonstrações financeiras, a reclassificação para o patrimônio líquido dos instrumentos que atendam às características de Capital Principal. a Caixa economica passou a registrar esse isntrumentos de divida no P.L.. Sendo que no ano de 2013 houve a reclassificação apenas de 8.000.000.000. Confome o disposto na Lei n° 10.177, DE 12 DE JANEIRO DE 2001. Lei n° 12.793, DE 2 DE ABRIL DE 2013. A remuneração para tais instrumentos de divida será a Taxa de Juros a Longo Prazo TJLP.
 </t>
  </si>
  <si>
    <t>Remuneração da dívida BNDES</t>
  </si>
  <si>
    <t>União celebraram Instrumento de Novação e Confissão de Dívida.</t>
  </si>
  <si>
    <t xml:space="preserve">477/PGFN/CAF </t>
  </si>
  <si>
    <t>867/PGFN/CAF</t>
  </si>
  <si>
    <t>963 e 964/PGFN/CAF R$ 8.731.760 e R$ 6.807.216</t>
  </si>
  <si>
    <t>1018/PGFN/CAF</t>
  </si>
  <si>
    <t>A remuneração dos instrumentos de dívida ficou definido como sendo a Taxa de Juros a Longo Prazo TJLP de acordo com o exposto nos demosntravos e com o dispoto na  Lei n° 10.177, DE 12 DE JANEIRO DE 2001. Lei n° 12.793, DE 2 DE ABRIL DE 2013. No ano de 2013 o Banco teve o valor de R$12.028.055 classificados como capital complementar de acordo a Resolução do CMN n° 4.192/2013.</t>
  </si>
  <si>
    <t>Remuneração da dívida BASA</t>
  </si>
  <si>
    <t>Valor do  P C</t>
  </si>
  <si>
    <t>Valor do P Ñ C</t>
  </si>
  <si>
    <t>Os juros serão pagos em parcela única anual, atualizada pela Selic até a data de seu efetivo pagamento, em até trinta dias corridos contados após a realização do pagamento de dividendos relativos ao resultado apurado no balanço de encerramento do exercício social. Para 2014 foi calculado apenas a parcela referente aos dias que faltavam para completar o ano</t>
  </si>
  <si>
    <t>Os valores são diividos em PC e PCN. Foi somada as duas contas e multiplicado pela Selic, conforme contrato incial.</t>
  </si>
  <si>
    <t>*</t>
  </si>
  <si>
    <t>Remuneração da dívida BNB</t>
  </si>
  <si>
    <t>IPCA + 6,4715% a.a</t>
  </si>
  <si>
    <t>IPCA + 6,4715% a.a (  O banco quita a dívida total nesse ano)</t>
  </si>
  <si>
    <t>Rentabilidade sobre o PL</t>
  </si>
  <si>
    <t>ROE = (Lucro Liquido) / PL Tesouro</t>
  </si>
  <si>
    <t>ROE ABRANGENTE = (Lucro Abrangente) / PL Tesouro</t>
  </si>
  <si>
    <t>ROE Div + JSCP = (Div + JCP) / PL Tesouro</t>
  </si>
  <si>
    <t>B.B.</t>
  </si>
  <si>
    <t>C.E.F.</t>
  </si>
  <si>
    <t>SELIC</t>
  </si>
  <si>
    <t>ROEtes</t>
  </si>
  <si>
    <t>ROEABRtes</t>
  </si>
  <si>
    <t>ROEDIVtes</t>
  </si>
  <si>
    <t xml:space="preserve"> ROE modificado = (Lucro Liquido + RD) /( PL Tesouro + ID)</t>
  </si>
  <si>
    <t>ROE abrangente Modificado = (Lucro Abrangente+ID) / (PL Tesouro+RD)</t>
  </si>
  <si>
    <t>ROE Div + JSCP Modificado = ((Div + JCP)+ RD) / (PL Tesouro + ID)</t>
  </si>
  <si>
    <t>ROEAJtes</t>
  </si>
  <si>
    <t>ROEABRAJtes</t>
  </si>
  <si>
    <t>ROEDIVAJtes</t>
  </si>
  <si>
    <t>Média</t>
  </si>
  <si>
    <t>Tabela 1: Estatísticas descritivas do indicador ROE tes de 2002 a 2017</t>
  </si>
  <si>
    <t>Tabela 2: Estatísticas descritivas do indicador ROE ABR tes de 2002 a 2017</t>
  </si>
  <si>
    <t>Tabela 3: Estatísticas descritivas do indicador ROE DIV tes de 2002 a 2017</t>
  </si>
  <si>
    <t>Estatísticas</t>
  </si>
  <si>
    <t>BB</t>
  </si>
  <si>
    <t>CEF</t>
  </si>
  <si>
    <t>Conjunto dos Bancos</t>
  </si>
  <si>
    <t>Mediana</t>
  </si>
  <si>
    <t>Máximo</t>
  </si>
  <si>
    <t>Mínimo</t>
  </si>
  <si>
    <t>Desvio   Padrão</t>
  </si>
  <si>
    <t xml:space="preserve">Teste - t de diferença da média </t>
  </si>
  <si>
    <t>t- statistic</t>
  </si>
  <si>
    <t>p - valor</t>
  </si>
  <si>
    <t>Tabela 4: Estatísticas descritivas do indicador ROE AJ tes de 2002 a 2017</t>
  </si>
  <si>
    <t>Tabela 5: Estatísticas descritivas do indicador ROE ABRAJ tes de 2002 a 2017</t>
  </si>
  <si>
    <t>Tabela 6: Estatísticas descritivas do indicador DIVAJ tes de 2002 a 2017</t>
  </si>
  <si>
    <t>Roe</t>
  </si>
  <si>
    <t>roeabr</t>
  </si>
  <si>
    <t>roeaj</t>
  </si>
  <si>
    <t>roeabraj</t>
  </si>
  <si>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</si>
  <si>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</si>
  <si>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</si>
  <si>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</si>
  <si>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</si>
  <si>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</si>
  <si>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</si>
  <si>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</si>
  <si>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</si>
  <si>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</si>
  <si>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</si>
  <si>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</si>
  <si>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</si>
  <si>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Acumulado</t>
  </si>
  <si>
    <t xml:space="preserve">Fonte: http://www.portalbrasil.net/indices_selic.htm </t>
  </si>
  <si>
    <t>Taxa Anual Acumulada no Ano</t>
  </si>
  <si>
    <t>SISTEMA ESPECIAL DE LIQUIDAÇÃO E CUSTÓDIA - SELIC</t>
  </si>
  <si>
    <t>Meta da Taxa Selic</t>
  </si>
  <si>
    <t>Mês de referência</t>
  </si>
  <si>
    <t>Taxa</t>
  </si>
  <si>
    <t>Taxa anual</t>
  </si>
  <si>
    <t>Taxa acumulada no Ano - %</t>
  </si>
  <si>
    <t>Taxa acumulada em 12 Meses - %</t>
  </si>
  <si>
    <t>Fator diário</t>
  </si>
  <si>
    <t>Mensalizada</t>
  </si>
  <si>
    <t>(*)</t>
  </si>
  <si>
    <t>VALORES REAIS (1) - "Ano-Calendário"</t>
  </si>
  <si>
    <t>VALORES OFICIAIS (2)</t>
  </si>
  <si>
    <t xml:space="preserve">Para o calculo da SELIC utilizei a SELIC acumulada de cada ano </t>
  </si>
  <si>
    <t>NOV/2002 </t>
  </si>
  <si>
    <t> 1,6020</t>
  </si>
  <si>
    <t>IPCA</t>
  </si>
  <si>
    <t>c</t>
  </si>
  <si>
    <t>;</t>
  </si>
  <si>
    <t>Part União (qtd de ações)</t>
  </si>
  <si>
    <t>OBS: O valor do PL diverge entre o ano de 2015 e 2016. No de 2016 o valor é 57889738 e no de 2015 o valor é de 59091390. Da mesma maneira o LL que em 2016 é 7821032 e em 2015 é de 8193155. da mesma maneira do LA que em 2016 é de 5826959 e em 2015 é de 6199082</t>
  </si>
  <si>
    <t>Juros e atualização</t>
  </si>
  <si>
    <t>Remuneração</t>
  </si>
  <si>
    <t>N.º do contrato (STN)</t>
  </si>
  <si>
    <t>monetária</t>
  </si>
  <si>
    <t>Pagamentos de juros</t>
  </si>
  <si>
    <t>Variável, limitada à TJLP</t>
  </si>
  <si>
    <t>963/PGFN/CAF</t>
  </si>
  <si>
    <t>964/PGFN/CAF</t>
  </si>
  <si>
    <t>Total</t>
  </si>
  <si>
    <t>Circulante</t>
  </si>
  <si>
    <t>Não circulante</t>
  </si>
  <si>
    <t>Juros e atualização monetária</t>
  </si>
  <si>
    <t>31I12I2015</t>
  </si>
  <si>
    <t>31I12I2016</t>
  </si>
  <si>
    <t>Variável limitada a TJLP</t>
  </si>
  <si>
    <t>Curto prazo</t>
  </si>
  <si>
    <t>Longo prazo</t>
  </si>
  <si>
    <t>31I12I2014</t>
  </si>
  <si>
    <t>Instrumentos de divida utilizados pelo governo com os bancos públicos</t>
  </si>
  <si>
    <t>BANCO</t>
  </si>
  <si>
    <t>INSTRUMENTO</t>
  </si>
  <si>
    <t xml:space="preserve">CONDIÇÕES </t>
  </si>
  <si>
    <t>VALOR</t>
  </si>
  <si>
    <t>Tesouro Nacional - repasses</t>
  </si>
  <si>
    <t>TR + 6,17% a.a.</t>
  </si>
  <si>
    <t>IGP-DI</t>
  </si>
  <si>
    <t>IGP-M</t>
  </si>
  <si>
    <t>TR + 6% a.a.</t>
  </si>
  <si>
    <t>IGP-M + 6% a.a.</t>
  </si>
  <si>
    <t>IGP-M + 10% a.a.</t>
  </si>
  <si>
    <t>US$ + 6% a.a.</t>
  </si>
  <si>
    <t>EUR + 4,3%</t>
  </si>
  <si>
    <t>Reais</t>
  </si>
  <si>
    <t>Juros provisionados</t>
  </si>
  <si>
    <t>IGP-M + 6%a.a.</t>
  </si>
  <si>
    <t>IGP-M + 10%a.a.</t>
  </si>
  <si>
    <t>Obrigações por aquisição de titulos federais</t>
  </si>
  <si>
    <t xml:space="preserve">O BNDES, para pagamento de dividendos e juros sobre o capital próprio referentes ao exercício de 2007, adquiriu títulos públicos federais junto ao Fundo de Garantia por Tempo de Serviço – FGTS – mediante financiamento. Esse empréstimo, no valor, atualizado para 31 de dezembro de 2008, de R$
6.073.171 mil, foi realizado nas seguintes condições: atualização monetária com base na Taxa Referencial de Juros (TR) e taxa de juros de 4,8628% ao  ano, com prazo de amortização de 18 anos, realizadas mensalmente de 1º de janeiro de 2009 a 1º de dezembro de 2026.
</t>
  </si>
  <si>
    <t>IPCA + 6% a.a.</t>
  </si>
  <si>
    <t>Reais + 12% (*)</t>
  </si>
  <si>
    <t>US$ + Juros de 4,83 a 6,00%</t>
  </si>
  <si>
    <t>US$ + 6,77% a.a.</t>
  </si>
  <si>
    <t xml:space="preserve">US$ + 5,98% a.a. </t>
  </si>
  <si>
    <t xml:space="preserve">TJLP </t>
  </si>
  <si>
    <t xml:space="preserve">TJLP + 2,5% </t>
  </si>
  <si>
    <t>TJLP + 1,0%</t>
  </si>
  <si>
    <t>Reais + 11,82%</t>
  </si>
  <si>
    <t xml:space="preserve"> </t>
  </si>
  <si>
    <t xml:space="preserve">O BNDES, para pagamento durante o ano de 2008 de dividendos e juros sobre o capital próprio referentes aos exercícios de 2006 e 2007, adquiriu títulos públicos federais junto ao Fundo de Garantia por Tempo de Serviço
– FGTS – mediante financiamento. Esse empréstimo, no valor, atualizado para 31 de dezembro de 2010 de R$ 5.474.293 mil – R$ 362.147 mil no curto prazo e R$ 5.112.146 mil no  longo  prazo  –  (R$  5.776.856  mil  – R$ 361.030 mil no curto prazo e R$ 5.415.826 mil no longo prazo em 31   de dezembro de 2009) foi realizado nas seguintes condições: atualização monetária com base na Taxa Referencial de Juros (TR) e taxa de juros de 4,8628% ao ano, com prazo de amortização de 18 anos, realizadas mensalmente de 1º de janeiro de 2009 a 1º de dezembro de 2026.
</t>
  </si>
  <si>
    <r>
      <t xml:space="preserve">US$ + 6,77% a.a.   </t>
    </r>
    <r>
      <rPr>
        <vertAlign val="superscript"/>
        <sz val="8.5"/>
        <color rgb="FF231F20"/>
        <rFont val="Times New Roman"/>
        <family val="1"/>
      </rPr>
      <t>(1)</t>
    </r>
    <r>
      <rPr>
        <sz val="8.5"/>
        <color rgb="FF231F20"/>
        <rFont val="Times New Roman"/>
        <family val="1"/>
      </rPr>
      <t xml:space="preserve"> 18,47</t>
    </r>
  </si>
  <si>
    <r>
      <t xml:space="preserve">US$ + 5,98% a.a.   </t>
    </r>
    <r>
      <rPr>
        <vertAlign val="superscript"/>
        <sz val="8.5"/>
        <color rgb="FF231F20"/>
        <rFont val="Times New Roman"/>
        <family val="1"/>
      </rPr>
      <t>(1)</t>
    </r>
    <r>
      <rPr>
        <sz val="8.5"/>
        <color rgb="FF231F20"/>
        <rFont val="Times New Roman"/>
        <family val="1"/>
      </rPr>
      <t xml:space="preserve"> 18,47</t>
    </r>
  </si>
  <si>
    <t xml:space="preserve">US$ + 6,77% a.a. </t>
  </si>
  <si>
    <t>US$ + 0,8%</t>
  </si>
  <si>
    <t>US$ + 6,77% a.a.  18,47</t>
  </si>
  <si>
    <r>
      <t xml:space="preserve">TJLP </t>
    </r>
    <r>
      <rPr>
        <sz val="5.5"/>
        <color rgb="FF231F20"/>
        <rFont val="Times New Roman"/>
        <family val="1"/>
      </rPr>
      <t xml:space="preserve">(1) (2) (3) </t>
    </r>
    <r>
      <rPr>
        <sz val="8.5"/>
        <color rgb="FF231F20"/>
        <rFont val="Times New Roman"/>
        <family val="1"/>
      </rPr>
      <t>36,13</t>
    </r>
  </si>
  <si>
    <t>US$ + 5,98% a.a.  18,47</t>
  </si>
  <si>
    <r>
      <t xml:space="preserve">TJLP + 2,5% </t>
    </r>
    <r>
      <rPr>
        <vertAlign val="superscript"/>
        <sz val="8.5"/>
        <color rgb="FF231F20"/>
        <rFont val="Times New Roman"/>
        <family val="1"/>
      </rPr>
      <t>(1)</t>
    </r>
    <r>
      <rPr>
        <sz val="8.5"/>
        <color rgb="FF231F20"/>
        <rFont val="Times New Roman"/>
        <family val="1"/>
      </rPr>
      <t xml:space="preserve"> 28,66</t>
    </r>
  </si>
  <si>
    <t xml:space="preserve">TJLP (1) (2) (3) </t>
  </si>
  <si>
    <r>
      <t xml:space="preserve">TJLP + 1,0% </t>
    </r>
    <r>
      <rPr>
        <vertAlign val="superscript"/>
        <sz val="8.5"/>
        <color rgb="FF231F20"/>
        <rFont val="Times New Roman"/>
        <family val="1"/>
      </rPr>
      <t>(1)</t>
    </r>
    <r>
      <rPr>
        <sz val="8.5"/>
        <color rgb="FF231F20"/>
        <rFont val="Times New Roman"/>
        <family val="1"/>
      </rPr>
      <t xml:space="preserve"> 18,47</t>
    </r>
  </si>
  <si>
    <t xml:space="preserve">TJLP + 2,5% (1) </t>
  </si>
  <si>
    <t>TJLP + 1,0% (1)</t>
  </si>
  <si>
    <t xml:space="preserve">O BNDES, para pagamento durante o ano de 2008 de dividendos e juros sobre o capital próprio referentes aos exercícios de 2006 e 2007, adquiriu títulos públicos federais junto ao Fundo de Garantia por Tempo de Serviço
– FGTS – mediante financiamento. Esse empréstimo, no valor, atualizado para 31 de dezembro de 2011 de R$ 5.349.678 mil – R$ 370.538 mil no curto prazo e R$ 4.979.140 mil  no  longo  prazo  –  (R$ 5.474.293  mil  – R$ 362.147 mil no curto prazo e R$ 5.112.146 mil no longo prazo em 31   de dezembro de 2010) foi realizado nas seguintes condições: atualização monetária com base na Taxa Referencial de Juros (TR) e taxa de juros de 4,8628% ao ano, com prazo de amortização de 18 anos, realizadas mensalmente de 1º de janeiro de 2009 a 1º de dezembro de 2026.
</t>
  </si>
  <si>
    <t>US$ + 6,77% a.a. (*)</t>
  </si>
  <si>
    <t>US$ + 5,98% a.a.(**)</t>
  </si>
  <si>
    <t>US$ + 0,55%</t>
  </si>
  <si>
    <t>TJLP (**)</t>
  </si>
  <si>
    <t>TJLP + 2,5% (**)</t>
  </si>
  <si>
    <t>TJLP + 1,0% (**)</t>
  </si>
  <si>
    <t xml:space="preserve">O BNDES, para pagamento durante o ano de 2008 de dividendos e juros sobre o capital próprio referentes aos exercícios de 2006 e 2007, adquiriu títulos públicos federais junto ao Fundo de Garantia por Tempo de Serviço
– FGTS – mediante financiamento. Esse empréstimo, no valor, atualizado para 31 de dezembro de 2012 de R$ 4.862.208 mil – R$ 364.917 mil no curto prazo e R$ 4.497.291 mil no  longo  prazo  –  (R$ 5.194.238  mil  – R$ 365.199 mil no curto prazo e R$ 4.829.039 mil no longo prazo em 31   de dezembro de 2011) foi realizado nas seguintes condições: atualização monetária com base na Taxa Referencial de Juros (TR) e taxa de juros de 4,8628% ao ano, com prazo de amortização de 18 anos, realizadas mensalmente de 1º de janeiro de 2009 a 1º de dezembro de 2026.
</t>
  </si>
  <si>
    <t>US$ + 5,98% a.a.(*)</t>
  </si>
  <si>
    <t>US$ + 0,84%</t>
  </si>
  <si>
    <t>TJLP (*)</t>
  </si>
  <si>
    <t>TJLP + 2,5% (*)</t>
  </si>
  <si>
    <t>TJLP + 1,0% (*)</t>
  </si>
  <si>
    <t>O BNDES, para pagamento durante o ano de 2008 de dividendos e juros sobre o capital próprio referentes aos exercícios de 2006 e 2007, adquiriu títulos públicos federais junto ao Fundo de Garantia por Tempo de Serviço – FGTS – mediante financiamento. Esse empréstimo, no valor atualizado para 31 de dezembro de 2013 de R$ 4.523.425 mil – R$ 346.616 mil no curto prazo e  R$ 4.176.809 mil no  longo  prazo  –  (R$ 4.862.208  mil  –  R$ 364.917  mil  no  curto  prazo  e  R$ 4.497.291 mil no longo prazo em 31 de dezembro de 2012) foi realizado nas seguintes condições: atualização monetária com base na Taxa Referencial de Juros (TR) e taxa de juros de 4,8628% ao ano, com prazo de amortização de 18 anos, realizadas mensalmente de 1º  de janeiro  de 2009 a 1º de dezembro de 2026.</t>
  </si>
  <si>
    <t>US$ + 5,98% a.a. (*)</t>
  </si>
  <si>
    <t>US$</t>
  </si>
  <si>
    <t>US$ + 4,47%</t>
  </si>
  <si>
    <t>US$ + 0,55 a 0,84%</t>
  </si>
  <si>
    <t>O BNDES, para pagamento em 2008 de dividendos e juros sobre o capital próprio referentes aos exercícios de 2006 e 2007, adquiriu, mediante financiamento, títulos públicos federais junto ao Fundo de Garantia por Tempo de Serviço – FGTS. Esse empréstimo, no valor atualizado de R$ 4.211.248 mil em 31 de dezembro de 2014 – R$ 367.000 mil no curto prazo e R$ 3.844.248 mil no longo prazo – (R$ 4.523.425 mil – R$ 346.616 mil no curto prazo e R$ 4.176.809 mil no longo prazo em 31 de dezembro de 2013) foi realizado nas seguintes condições:  atualização  monetária com base na TR  e taxa de juros de 4,8628% ao ano, com prazo de amortização de   18 anos, realizada mensalmente de 1º de janeiro de 2009 a 1º de dezembro de 2026.</t>
  </si>
  <si>
    <t>US$ + 4,47% a.a.</t>
  </si>
  <si>
    <t>US$ + 0,04 a 0,84%</t>
  </si>
  <si>
    <t>TJLP + 2,5%</t>
  </si>
  <si>
    <t>O BNDES, para pagamento em 2008 de dividendos e juros sobre o capital próprio referentes aos exercícios de 2006 e 2007, adquiriu, mediante financiamento, títulos públicos federais junto ao Fundo de Garantia por Tempo de Serviço – FGTS. Esse empréstimo, no  valor  atualizado  de  R$ 3.929.409  em  31  de  dezembro  de  2015  –  R$ 371.194  no  curto  prazo  e  R$ 3.558.215   no  longo   prazo   –   (R$ 4.211.248  –   R$ 367.000 no curto prazo e R$ 3.844.248 no longo prazo em 31 de dezembro de 2014) foi realizado nas seguintes condições: atualização monetária com base na TR e taxa de juros de 4,8628% ao ano, com prazo de amortização de 18 anos, realizada mensalmente de 1º de janeiro de 2009 a 1º de dezembro de 2026.</t>
  </si>
  <si>
    <t xml:space="preserve">US$ </t>
  </si>
  <si>
    <t>US$ + 0,04 A 0,84%</t>
  </si>
  <si>
    <t>TJLP</t>
  </si>
  <si>
    <t xml:space="preserve">O BNDES. para pagamento em 2008 de dividendos e juros sobre o capital próprio referentes aos exercícios de 2008 e 2007 para seu acionista único, adquiriu. mediante financiamento. títulos públicos federais junto ao Fundo de Garantia por Tempo de Serviço — FGTS. Esse empréstimo, no valor atualizado de RS 3.844.151 em 31 de dezembro de 2018 — RS 377.212 no curto prazo e RS 3.288.939 no longo prazo — (RS 3.929.409, sendo RS 371.194 no curto prazo e RS 3.558.215 no longo prazo em 31 de dezembro de 2015) foi realizado nas seguintes condições: atualização monetária com base na TR e taxa de juros de 4.8828% ao ano, com prazo de amortização de 18 anos, realizada mensalmente de 1° de janeiro de 2009 a 1° de dezembro de 2028. 
</t>
  </si>
  <si>
    <t>US$ + 1,01%</t>
  </si>
  <si>
    <t>US$ + 1,58%</t>
  </si>
  <si>
    <t>CAIXA ECONOMICA FEDERAL</t>
  </si>
  <si>
    <t>Tesouro Nacional - PIS</t>
  </si>
  <si>
    <t>FGTS</t>
  </si>
  <si>
    <t>Compostos, substancialmente, por recursos repassados pelo FGTS para aplicação em operações
de infra-estrutura, desenvolvimento urbano e crédito imobiliário. Estão sujeitos à atualização
monetária, de acordo com a variação da Taxa Referencial (TR), e à incidência de juros médios
de 6,10% ao ano. O prazo médio para o vencimento das operações é de 15 anos.</t>
  </si>
  <si>
    <t>Outras Instituições</t>
  </si>
  <si>
    <t>As compostas, substancialmente, por recursos repassados pelo FGTS para aplicação em
operações de infra-estrutura, desenvolvimento urbano e crédito imobiliário estão sujeitas à
atualização monetária, de acordo com a variação da Taxa Referencial (TR), e à incidência de
juros médios de 6,10% ao ano. O prazo médio para o vencimento das operações é de 15 anos.</t>
  </si>
  <si>
    <t>As compostas, substancialmente, por recursos repassados pelo FGTS para aplicação em
operações de infra-estrutura, desenvolvimento urbano e crédito imobiliário estão sujeitas à
atualização monetária, de acordo com a variação da Taxa Referencial (TR), e à incidência de
juros médios de 6,17% ao ano. O prazo médio para o vencimento das operações é de 15 anos.</t>
  </si>
  <si>
    <t>Compostas, principalmente por recursos repassados pelo FGTS para aplicação em operações de
infra-estrutura, desenvolvimento urbano e crédito imobiliário, estão sujeitas à atualização
monetária, de acordo com a variação da Taxa Referencial (TR), e à incidência de juros médios de
6,17% ao ano. O prazo médio para o vencimento das operações é de 15 anos.</t>
  </si>
  <si>
    <t>UNIÃO</t>
  </si>
  <si>
    <t>PIS</t>
  </si>
  <si>
    <t>INCRA</t>
  </si>
  <si>
    <t>Prodecer</t>
  </si>
  <si>
    <t>FDS</t>
  </si>
  <si>
    <t>Compostas, principalmente por recursos repassados pelo FGTS para aplicação em operações de
infra-estrutura, desenvolvimento urbano e crédito imobiliário, estão sujeitas à atualização
monetária, de acordo com a variação da Taxa Referencial (TR), e à incidência de juros médios de
6,17% ao ano. O prazo médio para o vencimento das operações é de 8 anos.</t>
  </si>
  <si>
    <t>Compostas, principalmente por recursos repassados pelo FGTS para aplicação em
operações de infra-estrutura, desenvolvimento urbano e crédito imobiliário, estão sujeitas à
atualização monetária, de acordo com a variação da Taxa Referencial (TR), e à incidência de
juros médios de 6,17% ao ano. O prazo médio para o vencimento das operações é de 8 anos.</t>
  </si>
  <si>
    <t>Compostos, principalmente, por recursos repassados pelo FGTS para aplicação em
operações de infraestrutura, desenvolvimento urbano e crédito imobiliário, estão sujeitos à
atualização monetária, de acordo com a variação da Taxa Referencial (TR), e à incidência de juros
médios de 6,17% ao ano. O prazo médio para o vencimento das operações é de 8 anos.</t>
  </si>
  <si>
    <t>Compostos, principalmente, por recursos repassados pelo FGTS para aplicação em
operações de infraestrutura, desenvolvimento urbano e crédito imobiliário, estão sujeitos à
atualização monetária, de acordo com a variação da Taxa Referencial (TR), e à incidência de
juros médios de 6,17% ao ano. O prazo médio para o vencimento das operações é de 8 anos.</t>
  </si>
  <si>
    <t>Compostos, principalmente, por recursos repassados pelo FGTS para aplicação em operações de
infraestrutura, desenvolvimento urbano e crédito imobiliário, estão sujeitos à atualização monetária, de acordo
com a variação da Taxa Referencial (TR), e à incidência de juros médios de 6,17% ao ano. O prazo médio
para o vencimento das operações é de 8 anos.</t>
  </si>
  <si>
    <t>Compostos, principalmente, por recursos repassados pelo FGTS para aplicação em operações de
infraestrutura, desenvolvimento urbano e crédito imobiliário, estão sujeitos à atualização monetária, de
acordo com a variação da Taxa Referencial (TR), e à incidência de juros médios de 6,17% ao ano. O prazo
médio para o vencimento das operações é de 8 anos.</t>
  </si>
  <si>
    <t>Compostos por recursos repassados pelo FGTS para aplicação em operações de infraestrutura,
desenvolvimento urbano e crédito imobiliário. Tais repasses estão sujeitos à atualização monetária de acordo
com a variação da Taxa Referencial (TR), taxa média de juros de 5,11 % ao ano (habitação 4,99 %,
infraestrutura 5,89 % e saneamento 6,21 %) e prazo remanescente de retorno com média de 20 anos
(habitação 21, infraestrutura 20 e saneamento 14).</t>
  </si>
  <si>
    <t>Fundo Marinha Mercante</t>
  </si>
  <si>
    <t>Compostos por recursos repassados pelo FGTS para aplicação em operações de infraestrutura,
desenvolvimento urbano e crédito imobiliário. Tais repasses estão sujeitos à atualização monetária de acordo
com a variação da Taxa Referencial (TR), taxa média de juros de 5,15 % a.a. (habitação 5,03 % a.a.,
infraestrutura 5,89 % a.a. e saneamento 6,16 % a.a.) e prazo médio de retorno de 248 meses (habitação 261
meses, infraestrutura 231 meses e saneamento 164 meses).</t>
  </si>
  <si>
    <t>Tesouro Nacional - Crédito Rural</t>
  </si>
  <si>
    <t>Profir</t>
  </si>
  <si>
    <t>TJLP + 5% aa</t>
  </si>
  <si>
    <t>Proceder III</t>
  </si>
  <si>
    <t>TJLP + 3% aa a TJLP + 4%aa</t>
  </si>
  <si>
    <t>PNDA</t>
  </si>
  <si>
    <t>Variação cambial + 10,32% aa a TJLP + 12,82% aa</t>
  </si>
  <si>
    <t>Pronaf</t>
  </si>
  <si>
    <t>1,15% aa a 4% aa</t>
  </si>
  <si>
    <t>PNDR ©</t>
  </si>
  <si>
    <t>TJLP + 12,82% aa</t>
  </si>
  <si>
    <t>Recoop</t>
  </si>
  <si>
    <t>IGP DI + 2% ou 2,5% aa a 5,75% a 8,25% aa</t>
  </si>
  <si>
    <t>Cacau</t>
  </si>
  <si>
    <t>TJLP + 2%aa, TJLP + 0,60% aa a 6,35% aa</t>
  </si>
  <si>
    <t>Custeio Agropecuário</t>
  </si>
  <si>
    <t>TR ou 9% aa</t>
  </si>
  <si>
    <t>PGPM-EGF</t>
  </si>
  <si>
    <t>TR ou 5,75% a 9,0% aa</t>
  </si>
  <si>
    <t>Estocagem Álcool</t>
  </si>
  <si>
    <t>TMS</t>
  </si>
  <si>
    <t>ZERO %
Até 06/2000 3% aa + 1/2 da TJLP
A partir de 2001 1% aa a 3% aa + 1/2 da TJLP
Após 2000 1% aa</t>
  </si>
  <si>
    <t>Finame</t>
  </si>
  <si>
    <t>PÓS-FIXADAS 1,84% aa
Liberações a partir de 1998 1,75% aa
RURAL 2,61% aa
PRÉ-FIXADAS 7,26% aa
Liberações a partir de 1998 2,36% aa</t>
  </si>
  <si>
    <t xml:space="preserve">Outras Instituições Oficiais </t>
  </si>
  <si>
    <t>Funcafé</t>
  </si>
  <si>
    <t>Recursos disponíveis TR ou TMS
Recursos aplicados TJLP + 3% aa ou 4% aa</t>
  </si>
  <si>
    <t>TOTAL</t>
  </si>
  <si>
    <t>TR ou 9% a.a.</t>
  </si>
  <si>
    <t>TR ou 5,75% a.a. a 9,0% a.a.</t>
  </si>
  <si>
    <t>TJLP + 9,95% a.a.</t>
  </si>
  <si>
    <t>TJLP + 5% a.a.</t>
  </si>
  <si>
    <t>Prodecer III</t>
  </si>
  <si>
    <t>TJLP + 3% a.a. ou + 4% a.a.
ou de 7,75% a.a. a 8,75% a.a.</t>
  </si>
  <si>
    <t>TJLP + 0,6%a.a. ou 6,35%a.a.</t>
  </si>
  <si>
    <t>1,15% a.a. ou 4% a.a.</t>
  </si>
  <si>
    <t>5,75% a.a. a 8,25% a.a.</t>
  </si>
  <si>
    <t>Outros Fundos e Programas</t>
  </si>
  <si>
    <t>Variação cambial + 9,15% a.a.
ou TJLP + 9,95% a.a.</t>
  </si>
  <si>
    <t>Programas com juros prefixados: os juros pagos ao BNDES variam de 3% a 9% a.a.
- Programas com TJLP ou Variação Cambial: os juros pagos ao BNDES variam de 1% a 3% a.a.</t>
  </si>
  <si>
    <t>Programas com juros prefixados: os juros pagos ao BNDES/Finame variam de 5,75% a 9,8% a.a.
- Programas com TJLP ou Variação Cambial: os juros pagos ao BNDES/Finame variam de 1% a 3% a.a.</t>
  </si>
  <si>
    <t>Recursos do Prohemp</t>
  </si>
  <si>
    <t>FBB - Fundec II</t>
  </si>
  <si>
    <t>TR ou TMS (Disponível) ou
TJLP + 3% a.a. ou 4% a.a.
(Aplicado)</t>
  </si>
  <si>
    <t>outros e suprimento especial - depósitos</t>
  </si>
  <si>
    <t>TJLP + 9,81 % a.a.</t>
  </si>
  <si>
    <t>TJLP + 0,6% a.a. ou 6,35% a.a.</t>
  </si>
  <si>
    <t>1,0% a.a. ou 7,25% a.a.</t>
  </si>
  <si>
    <t>5,75% a.a. a 7,25% a.a.</t>
  </si>
  <si>
    <t>Outros</t>
  </si>
  <si>
    <t>Variação cambial + 7,31 % a.a.
ou TJLP + 9,81% a.a.</t>
  </si>
  <si>
    <t>Programas com juros prefixados: os juros pagos ao BNDES variam de 3% a 7,75% a.a.
- Programas com TJLP ou Variação Cambial: os juros pagos ao BNDES variam de 1% a 4% a.a.</t>
  </si>
  <si>
    <t>Programas com juros prefixados: os juros pagos ao BNDES/Finame variam de 5,75% a 11% a.a.
- Programas com TJLP ou Variação Cambial: os juros pagos ao BNDES/Finame variam de 1% a 5% a.a.</t>
  </si>
  <si>
    <t>TR ou TMS (Disponível) ou TJLP
+ 3% a.a. ou 4% a.a. ou 5% a. a.
(Aplicado)</t>
  </si>
  <si>
    <t>pronaf</t>
  </si>
  <si>
    <t>TMS (Disponível) ou 1,0% a.a. ou
7,25% a.a.(Aplicado)</t>
  </si>
  <si>
    <t>Programas com juros prefixados: os juros pagos ao BNDES variam de 3% a 7,75% a.a.
- Programas com TJLP ou Variação Cambial: os juros pagos ao BNDES variam de 0,5% a 5,5% a.a.</t>
  </si>
  <si>
    <t>Programas com juros prefixados: os juros pagos ao BNDES/Finame variam de 3,75% a 11% a.a.
- Programas com TJLP ou Variação Cambial: os juros pagos ao BNDES/Finame e BNDES/EXIM variam de
1% a 11,47% a.a.</t>
  </si>
  <si>
    <t>TJLP + 0,6% a.a. ou
6,35% a.a.</t>
  </si>
  <si>
    <t>TMS (Disponível) ou 1,0%
a.a. a 7,25% a.a. (Aplicado)</t>
  </si>
  <si>
    <t>Programas com juros prefixados: os juros pagos ao BNDES variam de 3% a 11% a.a.
- Programas com TJLP ou Variação Cambial: os juros pagos ao BNDES variam de 0,5% a 5% a.a.</t>
  </si>
  <si>
    <t>- Programas com juros prefixados: os juros pagos ao BNDES/Finame variam de 3,75% a 11% a.a.
- Programas com TJLP ou Variação Cambial: os juros pagos ao BNDES/Finame e BNDES/Exim variam de
0,5% a 11,47% a.a.</t>
  </si>
  <si>
    <t>TR ou TMS (Disponível) ou
TJLP + 3% a.a. ou 4% a.a.
ou 5% a.a. (Aplicado)</t>
  </si>
  <si>
    <t>TMS (Disponível) ou 1,0% a.a. a 7,25% a.a.
(Aplicado)</t>
  </si>
  <si>
    <t>3,75 a.a. a 11% a.a. ou
TJLP / var. camb.+ 0,5 %a.a. a 5%a.a.</t>
  </si>
  <si>
    <t>3,75 a.a. a 11% a.a. ou
TJLP / var. camb.+ 0,5 %a.a. a 10,11%a.a.</t>
  </si>
  <si>
    <t>TR ou TMS (Disponível) ou TJLP + 3% a.a.
ou 4% a.a. ou 5% a.a. (Aplicado)</t>
  </si>
  <si>
    <t>TR ou 9%a.a.</t>
  </si>
  <si>
    <t>TMS (se disponível) ou
0,5%a.a. a 5,5%a.a. (se aplicado)</t>
  </si>
  <si>
    <t>5,75%a.a. a 7,25%a.a.</t>
  </si>
  <si>
    <t>3,75%a.a. a 11%a.a. ou
TJLP / var. camb. + 0,5%a.a. a 9,69%a.a.</t>
  </si>
  <si>
    <t>3,75% a.a. a 11% a.a. ou
TJLP / var. camb. + 0,5% a.a. a 4,5% a.a.</t>
  </si>
  <si>
    <t>TR ou TMS (se disponível) ou TJLP - 0,5%a.a. ou
3,0%a.a. ou 5%a.a. (se aplicado)</t>
  </si>
  <si>
    <t>TMS (disponível) ou
0,5%a.a. a 5,5%a.a. (aplicado)</t>
  </si>
  <si>
    <t>0,6305% a.a. a 15,35% a.a. ou
TJLP / var. camb. + 0,50% a.a. a 8,55 % a.a.</t>
  </si>
  <si>
    <t>Banco Votorantim</t>
  </si>
  <si>
    <t>1,50% a.a. a 16,50% a.a. ou
TJLP / var. camb. + 1,30% a.a. a 10,50 % a.a.</t>
  </si>
  <si>
    <t>Caixa Econômica Federal</t>
  </si>
  <si>
    <t>1,50% a.a. a 11,00% a.a. ou
TJLP / var. camb. + 0,50% a.a. a 5,50% a.a.</t>
  </si>
  <si>
    <t>4,55% a.a. a 11,00% a.a. ou
TJLP / var. camb. + 0,50% a.a. a 5,50 % a.a.</t>
  </si>
  <si>
    <t>TMS (disponível) ou 9,5%a.a. (até 30.06.07),
7,5%a.a. (entre 01.07.07 e 30.06.09) e 6,75%a.a.
(a partir de 01.07.09)</t>
  </si>
  <si>
    <t>TMS (se disponível) ou 0,5% a.a. a 4,5% a.a.
(se aplicado)</t>
  </si>
  <si>
    <t>TR ou 3% a.a.</t>
  </si>
  <si>
    <t>0,6305% a.a. a 14,1% a.a. ou TJLP/var. camb.
+ 0,5% a.a. a 8,18 % a.a.</t>
  </si>
  <si>
    <t>Pré/TJLP/var. camb. +1,3% a.a. a 11 % a.a.</t>
  </si>
  <si>
    <t>1% a.a. a 11% a.a. ou TJLP/var. camb. + 0,5%
a.a. a 5,5% a.a.</t>
  </si>
  <si>
    <t>TJLP/Pré +0,3% a.a. a 17,5% a.a.</t>
  </si>
  <si>
    <t>Suprimento Especial – Poupança Rural</t>
  </si>
  <si>
    <t>TR</t>
  </si>
  <si>
    <t>TMS (se disponível) ou 6,75% a.a.</t>
  </si>
  <si>
    <t>TMS (se disponível) ou
0,5%a.a. a 4,5%a.a. (se aplicado)</t>
  </si>
  <si>
    <t>TR ou TR + 9%a.a.</t>
  </si>
  <si>
    <t>0,6305% a.a. a 14,1% a.a. ou
TJLP / var. camb. + 0,5% a.a. a 5,9% a.a.</t>
  </si>
  <si>
    <t>Pré / TJLP / var. camb. +
0,9 % a.a. a 10,5 % a.a.</t>
  </si>
  <si>
    <t>1% a.a. a 11% a.a. ou
TJLP / var. camb. + 0,5% a.a. a 5,5% a.a.</t>
  </si>
  <si>
    <t>TJLP / Pré + 0,3% a.a. a 11,5 % a.a.</t>
  </si>
  <si>
    <t>TMS (se disponível) ou
6,75% a.a. (se aplicado)</t>
  </si>
  <si>
    <t>TMS (se disponível) ou
0,5% a.a. a 4% a.a. (se aplicado)</t>
  </si>
  <si>
    <t>5,75% a.a. a 8,25% a.a. ou IGP-DI + 1%
a.a. ou IGP-DI + 2% a.a.</t>
  </si>
  <si>
    <t>IGP-M + 8% a.a. ou TJLP + 0,6% a.a. ou
6,35% a.a.</t>
  </si>
  <si>
    <t>outros</t>
  </si>
  <si>
    <t>0% a.a. a 11% a.a. ou
TJLP/var. camb. + 0% a.a. a 6% a.a.</t>
  </si>
  <si>
    <t>Pré/TJLP/IPCA/var. camb. +
0,5% a.a. a 9,91% a.a.</t>
  </si>
  <si>
    <t>0% a.a. a 11% a.a. ou
TJLP/var. camb. + 0,5% a.a. a 5,5% a.a.</t>
  </si>
  <si>
    <t>TJLP/Pré + 0,3% a.a. a 11,5% a.a.</t>
  </si>
  <si>
    <t>TMS (se disponível) ou 6,75% a.a. (se
aplicado até 06/2012) ou 5,5% a.a. (se
aplicado a partir de 07/2012)</t>
  </si>
  <si>
    <t>TMS (se disponível) Pré 0,50% a.a. a 4,00% a.a. (se aplicado)</t>
  </si>
  <si>
    <t>Pré 6,35% a.a. IGP-M + 8,00% a.a. TJLP + 0,60% a.a.</t>
  </si>
  <si>
    <t>Pré 5,75% a.a. a 8,25% a.a. IGP-DI + 1,00% a.a. IGP-DI + 2,00% a.a.</t>
  </si>
  <si>
    <t>Pré 0,00% a.a. a 7,30% a.a.
TJLP + 0,00% a.a. a 5,40% a.a.
IPCA + 9,41% a.a. a 9,91% a.a.
Selic + 0,40% a.a a 4,00% a.a
Var.Camb. + 0,50% a.a. a 6,50 % a.a.</t>
  </si>
  <si>
    <t>Pré 0,80% a.a. a 7,00% a.a. TJLP + 0,50% a.a. a 4,50% a.a. IPCA + 7,02% a.a. a 9,91% a.a. Selic - 1,30% a.a. a 2,50% a.a. Var.Camb. + 1,30% a.a. a 3,00% a.a.</t>
  </si>
  <si>
    <t>Pré 0,00% a.a. a 8,50% a.a.
TJLP + 0,90% a.a. a 5,50% a.a.
Var. Camb. + 0,90% a.a. a 3,00% a.a.</t>
  </si>
  <si>
    <t>Pré 0,30% a.a. a 8,30% a.a. TJLP + 0,50% a.a. a 5,50% a.a. Var. Camb. + 0,90% a.a. a 1,40% a.a.</t>
  </si>
  <si>
    <t>TMS (Rec. disponível)
Pré 5,50% a.a. a 6,75% a.a.
(Rec. aplicado)</t>
  </si>
  <si>
    <t>TMS (se disponível)
Pré 0,50% a.a. a 4,00% a.a. (se aplicado)</t>
  </si>
  <si>
    <t>Pré 6,35% a.a.
IGP-M +8,00% a.a.
TJLP + 0,60% a.a.</t>
  </si>
  <si>
    <t>Pré 5,75% a.a. a 8,25% a.a.
IGP-DI + 1,00% a.a.
IGP-DI + 2,00% a.a.</t>
  </si>
  <si>
    <t>Pré 0,00% a.a. 7,30% a.a.
TJLP + 0,00% a.a. a 5,40% a.a
IPCA + 7,02% a.a. a 9,91% a.a.
Selic + 0,40% a.a. a 2,50% a.a.
Var. Camb. + 1,30% a.a. a 6,83% a.a.</t>
  </si>
  <si>
    <t>Pré 0,70% a.a. a 7,00% a.a.
TJLP + 0,50% a.a. a 4,50% a.a.
IPCA + 7,02% a.a. a 9,91% a.a.
Selic + 1,30% a.a. a 2,50% a.a.
Var. Camb. + 1,30% a.a. a 3,00% a.a.</t>
  </si>
  <si>
    <t>Pré 0,00% a.a. a 8,50% a.a.
TJLP + 0,50% a.a. a 5,50% a.a.
Var. Camb. + 0,90% a.a. a 3,00% a.a.</t>
  </si>
  <si>
    <t>Pré 0,30% a.a. a 8,30% a.a.
TJLP +0,50% a.a. a 5,50% a.a</t>
  </si>
  <si>
    <t>TMS (se disponível)
Pré 5,50% a.a. ou 6,75% a.a. (se aplicado)</t>
  </si>
  <si>
    <t>TMS (se disponível)
Pré 0,50% a.a. a 4,00% a.a.
(se aplicado)</t>
  </si>
  <si>
    <t>IGP-M + 8,00% a.a.
TJLP + 0,60% a.a. ou 6,35% a.a.</t>
  </si>
  <si>
    <t>Pré 0,00% a.a. a 9,50% a.a.
TJLP + 0,00% a.a. a 5,40% a.a.
IPCA + 8,62% a.a. a 9,41% a.a.
Selic + 0,40% a.a. a 2,50% a.a.
Var. Camb. + 0,90% a.a. a 6,89% a.a.</t>
  </si>
  <si>
    <t>Pré 5,26% a.a. (média)</t>
  </si>
  <si>
    <t>TMS (se disponível)
Pré 5,50% a.a. a 7,50% a.a.
(se aplicado)</t>
  </si>
  <si>
    <t>TMS (se disponível)
Pré 0,50% a.a. a 5,50% a.a.
(se aplicado)</t>
  </si>
  <si>
    <t>IGP-M + 8,00% a.a. ou
TJLP + 0,60% a.a. ou 6,35% a.a.</t>
  </si>
  <si>
    <t>Pré 5,75% a.a. a 8,25% a.a. ou
IGP-DI + 1,00% a.a. ou
IGP-DI + 2,00% a.a.</t>
  </si>
  <si>
    <t>Pré 0,00% a.a. a 9,50% a.a.
TJLP + 0,00% a.a. a 5,40% a.a.
IPCA + 3,72% a.a. a 9,41% a.a.
Selic + 0,40% a.a. a 2,50% a.a.
Var. Camb. + 0,90% a.a. a 3,00% a.a.</t>
  </si>
  <si>
    <t>Pré 5,25% a.a. (média)</t>
  </si>
  <si>
    <t>Pré 0,00% a.a. a 11,00% a.a.
TJLP + 0,50% a.a. a 5,50% a.a.
Var. Camb. + 0,90% a.a. a 3,00% a.a.
Selic + 2,08% a.a. a 2,08% a.a.</t>
  </si>
  <si>
    <t>TMS (se disponível)
Pré 5,50% a.a. a 11,25% a.a.
(se aplicado)</t>
  </si>
  <si>
    <t>Calculo do JSCP e Dividendos 2001</t>
  </si>
  <si>
    <t>Valor total distribuido de JSCP e Div Para união</t>
  </si>
  <si>
    <t>Valores de JSCP Distribuidos para todos ac</t>
  </si>
  <si>
    <t>Valores de DIV Distribuidos Para todos aci</t>
  </si>
  <si>
    <t>Valor total distribuido de JSCP e Div</t>
  </si>
  <si>
    <t>% pertencente a união</t>
  </si>
  <si>
    <t xml:space="preserve">Valor de JSCP da União </t>
  </si>
  <si>
    <t>Valor de DIV da união</t>
  </si>
  <si>
    <t>Calculo do JSCP e Dividendos 2002</t>
  </si>
  <si>
    <t>Calculo do JSCP e Dividendos 2003</t>
  </si>
  <si>
    <t>Calculo do JSCP e Dividendos 2004</t>
  </si>
  <si>
    <t>Calculo do JSCP e Dividendos 2005</t>
  </si>
  <si>
    <t>Calculo do JSCP e Dividendos 2006</t>
  </si>
  <si>
    <t>Calculo do JSCP e Dividendos 2007</t>
  </si>
  <si>
    <t>Calculo do JSCP e Dividendos 2008</t>
  </si>
  <si>
    <t>Total de ativos em 2017</t>
  </si>
  <si>
    <t xml:space="preserve">ROE </t>
  </si>
  <si>
    <t>=</t>
  </si>
  <si>
    <t>LL</t>
  </si>
  <si>
    <t>PL</t>
  </si>
  <si>
    <t>ROE</t>
  </si>
  <si>
    <t>LA</t>
  </si>
  <si>
    <t>Div + JSCP</t>
  </si>
  <si>
    <t xml:space="preserve">LL + Rem da Dívida </t>
  </si>
  <si>
    <t>PL + Inst da dívida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</si>
</sst>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* #,##0.00_-;\-&quot;R$&quot;* #,##0.00_-;_-&quot;R$&quot;* &quot;-&quot;??_-;_-@_-"/>
    <numFmt numFmtId="165" formatCode="_-&quot;R$&quot;* #,##0_-;\-&quot;R$&quot;* #,##0_-;_-&quot;R$&quot;* &quot;-&quot;??_-;_-@_-"/>
    <numFmt numFmtId="166" formatCode="mmmm\,\ yyyy;@"/>
    <numFmt numFmtId="167" formatCode="0.0000%"/>
    <numFmt numFmtId="168" formatCode="0.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sz val="10"/>
      <color theme="1"/>
      <name val="Calibri Light"/>
      <family val="2"/>
      <scheme val="major"/>
    </font>
    <font>
      <sz val="8.5"/>
      <color rgb="FF231F20"/>
      <name val="Times New Roman"/>
      <family val="1"/>
    </font>
    <font>
      <vertAlign val="superscript"/>
      <sz val="8.5"/>
      <color rgb="FF231F20"/>
      <name val="Times New Roman"/>
      <family val="1"/>
    </font>
    <font>
      <sz val="5.5"/>
      <color rgb="FF231F20"/>
      <name val="Times New Roman"/>
      <family val="1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b/>
      <i/>
      <sz val="7.5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7.5"/>
      <color theme="1"/>
      <name val="Arial"/>
      <family val="2"/>
    </font>
    <font>
      <sz val="8"/>
      <color theme="1"/>
      <name val="Arial"/>
      <family val="2"/>
    </font>
    <font>
      <sz val="5"/>
      <color theme="1"/>
      <name val="Times New Roman"/>
      <family val="1"/>
    </font>
    <font>
      <sz val="6"/>
      <color theme="1"/>
      <name val="Times New Roman"/>
      <family val="1"/>
    </font>
    <font>
      <b/>
      <sz val="8"/>
      <color rgb="FF231F20"/>
      <name val="Arial"/>
      <family val="2"/>
    </font>
    <font>
      <sz val="8"/>
      <color rgb="FF231F2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5DAF1"/>
        <bgColor indexed="64"/>
      </patternFill>
    </fill>
    <fill>
      <patternFill patternType="solid">
        <fgColor rgb="FFF1F1F2"/>
        <bgColor indexed="64"/>
      </patternFill>
    </fill>
    <fill>
      <patternFill patternType="solid">
        <fgColor rgb="FFDCDDDF"/>
        <bgColor indexed="64"/>
      </patternFill>
    </fill>
    <fill>
      <patternFill patternType="solid">
        <fgColor rgb="FFFAFA6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7030A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n">
        <color rgb="FF0066CC"/>
      </left>
      <right/>
      <top style="thin">
        <color rgb="FF0066CC"/>
      </top>
      <bottom style="thin">
        <color rgb="FF0066CC"/>
      </bottom>
      <diagonal/>
    </border>
    <border>
      <left/>
      <right/>
      <top style="thin">
        <color rgb="FF0066CC"/>
      </top>
      <bottom style="thin">
        <color rgb="FF0066CC"/>
      </bottom>
      <diagonal/>
    </border>
    <border>
      <left/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/>
      <diagonal/>
    </border>
    <border>
      <left style="thin">
        <color rgb="FF0066CC"/>
      </left>
      <right style="thin">
        <color rgb="FF0066CC"/>
      </right>
      <top/>
      <bottom/>
      <diagonal/>
    </border>
    <border>
      <left style="thin">
        <color rgb="FF0066CC"/>
      </left>
      <right style="thin">
        <color rgb="FF0066CC"/>
      </right>
      <top/>
      <bottom style="thin">
        <color rgb="FF0066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left" vertical="center"/>
    </xf>
    <xf numFmtId="0" fontId="0" fillId="9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0" fontId="0" fillId="5" borderId="1" xfId="2" applyNumberFormat="1" applyFont="1" applyFill="1" applyBorder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9" borderId="3" xfId="1" applyNumberFormat="1" applyFont="1" applyFill="1" applyBorder="1" applyAlignment="1">
      <alignment horizontal="center" vertical="center"/>
    </xf>
    <xf numFmtId="165" fontId="0" fillId="4" borderId="8" xfId="1" applyNumberFormat="1" applyFont="1" applyFill="1" applyBorder="1" applyAlignment="1">
      <alignment horizontal="center" vertical="center"/>
    </xf>
    <xf numFmtId="165" fontId="0" fillId="4" borderId="10" xfId="1" applyNumberFormat="1" applyFont="1" applyFill="1" applyBorder="1" applyAlignment="1">
      <alignment horizontal="center" vertical="center"/>
    </xf>
    <xf numFmtId="165" fontId="0" fillId="4" borderId="13" xfId="1" applyNumberFormat="1" applyFont="1" applyFill="1" applyBorder="1" applyAlignment="1">
      <alignment horizontal="center" vertical="center"/>
    </xf>
    <xf numFmtId="165" fontId="0" fillId="4" borderId="16" xfId="1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3" fontId="0" fillId="0" borderId="0" xfId="0" applyNumberFormat="1"/>
    <xf numFmtId="10" fontId="0" fillId="0" borderId="1" xfId="2" applyNumberFormat="1" applyFont="1" applyBorder="1"/>
    <xf numFmtId="0" fontId="0" fillId="9" borderId="1" xfId="0" applyFill="1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0" fontId="0" fillId="4" borderId="15" xfId="0" quotePrefix="1" applyFill="1" applyBorder="1" applyAlignment="1">
      <alignment horizontal="center" vertical="center" wrapText="1"/>
    </xf>
    <xf numFmtId="165" fontId="0" fillId="5" borderId="1" xfId="1" applyNumberFormat="1" applyFont="1" applyFill="1" applyBorder="1"/>
    <xf numFmtId="165" fontId="0" fillId="5" borderId="1" xfId="1" applyNumberFormat="1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 wrapText="1"/>
    </xf>
    <xf numFmtId="165" fontId="0" fillId="11" borderId="8" xfId="1" applyNumberFormat="1" applyFont="1" applyFill="1" applyBorder="1" applyAlignment="1">
      <alignment horizontal="center" vertical="center"/>
    </xf>
    <xf numFmtId="165" fontId="0" fillId="0" borderId="0" xfId="0" applyNumberFormat="1"/>
    <xf numFmtId="1" fontId="0" fillId="5" borderId="1" xfId="1" applyNumberFormat="1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165" fontId="0" fillId="6" borderId="8" xfId="1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0" fillId="0" borderId="18" xfId="1" applyNumberFormat="1" applyFont="1" applyBorder="1"/>
    <xf numFmtId="0" fontId="0" fillId="9" borderId="17" xfId="0" applyFill="1" applyBorder="1"/>
    <xf numFmtId="0" fontId="0" fillId="9" borderId="18" xfId="0" applyFill="1" applyBorder="1"/>
    <xf numFmtId="0" fontId="0" fillId="10" borderId="17" xfId="0" applyFill="1" applyBorder="1"/>
    <xf numFmtId="0" fontId="0" fillId="0" borderId="18" xfId="0" applyBorder="1"/>
    <xf numFmtId="0" fontId="0" fillId="10" borderId="19" xfId="0" applyFill="1" applyBorder="1"/>
    <xf numFmtId="165" fontId="2" fillId="0" borderId="20" xfId="1" applyNumberFormat="1" applyFont="1" applyBorder="1"/>
    <xf numFmtId="0" fontId="0" fillId="0" borderId="21" xfId="0" applyBorder="1"/>
    <xf numFmtId="0" fontId="0" fillId="8" borderId="17" xfId="0" applyFill="1" applyBorder="1" applyAlignment="1">
      <alignment horizontal="center" vertical="center"/>
    </xf>
    <xf numFmtId="165" fontId="0" fillId="5" borderId="18" xfId="1" applyNumberFormat="1" applyFont="1" applyFill="1" applyBorder="1" applyAlignment="1">
      <alignment horizontal="center"/>
    </xf>
    <xf numFmtId="0" fontId="0" fillId="8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65" fontId="0" fillId="5" borderId="20" xfId="1" applyNumberFormat="1" applyFont="1" applyFill="1" applyBorder="1"/>
    <xf numFmtId="10" fontId="0" fillId="5" borderId="20" xfId="2" applyNumberFormat="1" applyFont="1" applyFill="1" applyBorder="1" applyAlignment="1">
      <alignment horizontal="center" vertical="center"/>
    </xf>
    <xf numFmtId="165" fontId="0" fillId="5" borderId="20" xfId="1" applyNumberFormat="1" applyFont="1" applyFill="1" applyBorder="1" applyAlignment="1">
      <alignment horizontal="center" vertical="center"/>
    </xf>
    <xf numFmtId="165" fontId="0" fillId="5" borderId="20" xfId="1" applyNumberFormat="1" applyFont="1" applyFill="1" applyBorder="1" applyAlignment="1">
      <alignment horizontal="center"/>
    </xf>
    <xf numFmtId="165" fontId="0" fillId="5" borderId="21" xfId="1" applyNumberFormat="1" applyFont="1" applyFill="1" applyBorder="1" applyAlignment="1">
      <alignment horizontal="center"/>
    </xf>
    <xf numFmtId="1" fontId="0" fillId="5" borderId="20" xfId="1" applyNumberFormat="1" applyFont="1" applyFill="1" applyBorder="1" applyAlignment="1">
      <alignment horizontal="center"/>
    </xf>
    <xf numFmtId="0" fontId="0" fillId="8" borderId="29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65" fontId="0" fillId="5" borderId="25" xfId="1" applyNumberFormat="1" applyFont="1" applyFill="1" applyBorder="1"/>
    <xf numFmtId="1" fontId="0" fillId="5" borderId="25" xfId="1" applyNumberFormat="1" applyFont="1" applyFill="1" applyBorder="1" applyAlignment="1">
      <alignment horizontal="center"/>
    </xf>
    <xf numFmtId="10" fontId="0" fillId="5" borderId="25" xfId="2" applyNumberFormat="1" applyFont="1" applyFill="1" applyBorder="1" applyAlignment="1">
      <alignment horizontal="center" vertical="center"/>
    </xf>
    <xf numFmtId="165" fontId="0" fillId="5" borderId="25" xfId="1" applyNumberFormat="1" applyFont="1" applyFill="1" applyBorder="1" applyAlignment="1">
      <alignment horizontal="center" vertical="center"/>
    </xf>
    <xf numFmtId="165" fontId="0" fillId="5" borderId="25" xfId="1" applyNumberFormat="1" applyFont="1" applyFill="1" applyBorder="1" applyAlignment="1">
      <alignment horizontal="center"/>
    </xf>
    <xf numFmtId="165" fontId="0" fillId="5" borderId="30" xfId="1" applyNumberFormat="1" applyFont="1" applyFill="1" applyBorder="1" applyAlignment="1">
      <alignment horizont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64" fontId="0" fillId="3" borderId="27" xfId="1" applyFon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10" fontId="0" fillId="3" borderId="27" xfId="2" applyNumberFormat="1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10" fontId="0" fillId="0" borderId="0" xfId="0" applyNumberFormat="1"/>
    <xf numFmtId="165" fontId="0" fillId="13" borderId="1" xfId="1" applyNumberFormat="1" applyFont="1" applyFill="1" applyBorder="1"/>
    <xf numFmtId="165" fontId="0" fillId="13" borderId="1" xfId="1" applyNumberFormat="1" applyFont="1" applyFill="1" applyBorder="1" applyAlignment="1">
      <alignment horizontal="center"/>
    </xf>
    <xf numFmtId="0" fontId="0" fillId="3" borderId="37" xfId="0" applyFill="1" applyBorder="1" applyAlignment="1">
      <alignment horizontal="center" vertical="center" wrapText="1"/>
    </xf>
    <xf numFmtId="165" fontId="10" fillId="4" borderId="23" xfId="1" applyNumberFormat="1" applyFont="1" applyFill="1" applyBorder="1" applyAlignment="1">
      <alignment horizontal="center"/>
    </xf>
    <xf numFmtId="165" fontId="0" fillId="4" borderId="15" xfId="1" applyNumberFormat="1" applyFont="1" applyFill="1" applyBorder="1"/>
    <xf numFmtId="165" fontId="5" fillId="4" borderId="15" xfId="1" applyNumberFormat="1" applyFont="1" applyFill="1" applyBorder="1"/>
    <xf numFmtId="165" fontId="0" fillId="4" borderId="38" xfId="1" applyNumberFormat="1" applyFont="1" applyFill="1" applyBorder="1"/>
    <xf numFmtId="165" fontId="10" fillId="5" borderId="23" xfId="1" applyNumberFormat="1" applyFont="1" applyFill="1" applyBorder="1"/>
    <xf numFmtId="165" fontId="0" fillId="5" borderId="15" xfId="1" applyNumberFormat="1" applyFont="1" applyFill="1" applyBorder="1"/>
    <xf numFmtId="165" fontId="5" fillId="5" borderId="15" xfId="1" applyNumberFormat="1" applyFont="1" applyFill="1" applyBorder="1"/>
    <xf numFmtId="165" fontId="0" fillId="5" borderId="39" xfId="1" applyNumberFormat="1" applyFont="1" applyFill="1" applyBorder="1"/>
    <xf numFmtId="165" fontId="10" fillId="6" borderId="23" xfId="1" applyNumberFormat="1" applyFont="1" applyFill="1" applyBorder="1" applyAlignment="1">
      <alignment horizontal="center"/>
    </xf>
    <xf numFmtId="165" fontId="0" fillId="6" borderId="15" xfId="1" applyNumberFormat="1" applyFont="1" applyFill="1" applyBorder="1"/>
    <xf numFmtId="165" fontId="1" fillId="6" borderId="15" xfId="1" applyNumberFormat="1" applyFont="1" applyFill="1" applyBorder="1"/>
    <xf numFmtId="165" fontId="0" fillId="6" borderId="39" xfId="1" applyNumberFormat="1" applyFont="1" applyFill="1" applyBorder="1"/>
    <xf numFmtId="14" fontId="0" fillId="0" borderId="0" xfId="0" applyNumberFormat="1"/>
    <xf numFmtId="10" fontId="0" fillId="0" borderId="0" xfId="2" applyNumberFormat="1" applyFont="1"/>
    <xf numFmtId="2" fontId="0" fillId="0" borderId="0" xfId="0" applyNumberFormat="1"/>
    <xf numFmtId="17" fontId="0" fillId="0" borderId="0" xfId="0" applyNumberFormat="1"/>
    <xf numFmtId="0" fontId="12" fillId="15" borderId="40" xfId="0" applyFont="1" applyFill="1" applyBorder="1" applyAlignment="1">
      <alignment horizontal="center" vertical="center" wrapText="1"/>
    </xf>
    <xf numFmtId="17" fontId="13" fillId="15" borderId="40" xfId="0" applyNumberFormat="1" applyFont="1" applyFill="1" applyBorder="1" applyAlignment="1">
      <alignment horizontal="center" vertical="center" wrapText="1"/>
    </xf>
    <xf numFmtId="0" fontId="15" fillId="14" borderId="4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0" fontId="0" fillId="0" borderId="48" xfId="2" applyNumberFormat="1" applyFont="1" applyBorder="1"/>
    <xf numFmtId="0" fontId="0" fillId="0" borderId="32" xfId="0" applyBorder="1" applyAlignment="1">
      <alignment horizontal="center" vertical="center"/>
    </xf>
    <xf numFmtId="10" fontId="0" fillId="0" borderId="49" xfId="2" applyNumberFormat="1" applyFont="1" applyBorder="1"/>
    <xf numFmtId="0" fontId="0" fillId="16" borderId="5" xfId="0" applyFill="1" applyBorder="1" applyAlignment="1">
      <alignment horizontal="center" vertical="center"/>
    </xf>
    <xf numFmtId="10" fontId="0" fillId="16" borderId="50" xfId="0" applyNumberFormat="1" applyFill="1" applyBorder="1" applyAlignment="1">
      <alignment horizontal="center" vertical="center" wrapText="1"/>
    </xf>
    <xf numFmtId="0" fontId="16" fillId="15" borderId="40" xfId="0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right"/>
    </xf>
    <xf numFmtId="0" fontId="0" fillId="0" borderId="1" xfId="0" applyBorder="1"/>
    <xf numFmtId="165" fontId="0" fillId="18" borderId="1" xfId="1" applyNumberFormat="1" applyFont="1" applyFill="1" applyBorder="1" applyAlignment="1">
      <alignment horizontal="center" vertical="center"/>
    </xf>
    <xf numFmtId="165" fontId="0" fillId="18" borderId="1" xfId="1" applyNumberFormat="1" applyFont="1" applyFill="1" applyBorder="1"/>
    <xf numFmtId="0" fontId="0" fillId="0" borderId="1" xfId="0" applyFill="1" applyBorder="1"/>
    <xf numFmtId="165" fontId="0" fillId="0" borderId="1" xfId="0" applyNumberFormat="1" applyBorder="1"/>
    <xf numFmtId="10" fontId="0" fillId="0" borderId="1" xfId="0" applyNumberFormat="1" applyBorder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5" fontId="0" fillId="0" borderId="0" xfId="1" applyNumberFormat="1" applyFont="1"/>
    <xf numFmtId="10" fontId="0" fillId="0" borderId="1" xfId="2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165" fontId="10" fillId="4" borderId="33" xfId="1" applyNumberFormat="1" applyFont="1" applyFill="1" applyBorder="1" applyAlignment="1">
      <alignment horizontal="center"/>
    </xf>
    <xf numFmtId="165" fontId="0" fillId="4" borderId="34" xfId="1" applyNumberFormat="1" applyFont="1" applyFill="1" applyBorder="1"/>
    <xf numFmtId="165" fontId="5" fillId="4" borderId="34" xfId="1" applyNumberFormat="1" applyFont="1" applyFill="1" applyBorder="1"/>
    <xf numFmtId="165" fontId="0" fillId="4" borderId="35" xfId="1" applyNumberFormat="1" applyFont="1" applyFill="1" applyBorder="1"/>
    <xf numFmtId="165" fontId="10" fillId="5" borderId="33" xfId="1" applyNumberFormat="1" applyFont="1" applyFill="1" applyBorder="1"/>
    <xf numFmtId="165" fontId="0" fillId="5" borderId="34" xfId="1" applyNumberFormat="1" applyFont="1" applyFill="1" applyBorder="1"/>
    <xf numFmtId="165" fontId="5" fillId="5" borderId="34" xfId="1" applyNumberFormat="1" applyFont="1" applyFill="1" applyBorder="1"/>
    <xf numFmtId="165" fontId="0" fillId="5" borderId="36" xfId="1" applyNumberFormat="1" applyFont="1" applyFill="1" applyBorder="1"/>
    <xf numFmtId="165" fontId="10" fillId="6" borderId="33" xfId="1" applyNumberFormat="1" applyFont="1" applyFill="1" applyBorder="1" applyAlignment="1">
      <alignment horizontal="center"/>
    </xf>
    <xf numFmtId="165" fontId="0" fillId="6" borderId="34" xfId="1" applyNumberFormat="1" applyFont="1" applyFill="1" applyBorder="1"/>
    <xf numFmtId="165" fontId="1" fillId="6" borderId="34" xfId="1" applyNumberFormat="1" applyFont="1" applyFill="1" applyBorder="1"/>
    <xf numFmtId="165" fontId="0" fillId="6" borderId="36" xfId="1" applyNumberFormat="1" applyFont="1" applyFill="1" applyBorder="1"/>
    <xf numFmtId="0" fontId="0" fillId="0" borderId="1" xfId="0" applyBorder="1" applyAlignment="1">
      <alignment wrapText="1"/>
    </xf>
    <xf numFmtId="165" fontId="0" fillId="0" borderId="1" xfId="1" applyNumberFormat="1" applyFont="1" applyFill="1" applyBorder="1"/>
    <xf numFmtId="165" fontId="0" fillId="0" borderId="1" xfId="0" applyNumberFormat="1" applyFill="1" applyBorder="1"/>
    <xf numFmtId="0" fontId="0" fillId="0" borderId="0" xfId="0" applyFill="1"/>
    <xf numFmtId="165" fontId="0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Fill="1"/>
    <xf numFmtId="0" fontId="0" fillId="0" borderId="0" xfId="0" applyAlignment="1"/>
    <xf numFmtId="0" fontId="18" fillId="20" borderId="52" xfId="0" applyFont="1" applyFill="1" applyBorder="1" applyAlignment="1">
      <alignment horizontal="left" vertical="center"/>
    </xf>
    <xf numFmtId="0" fontId="19" fillId="20" borderId="52" xfId="0" applyFont="1" applyFill="1" applyBorder="1" applyAlignment="1">
      <alignment horizontal="left" vertical="center"/>
    </xf>
    <xf numFmtId="0" fontId="16" fillId="20" borderId="52" xfId="0" applyFont="1" applyFill="1" applyBorder="1" applyAlignment="1">
      <alignment horizontal="left" vertical="center"/>
    </xf>
    <xf numFmtId="0" fontId="18" fillId="20" borderId="0" xfId="0" applyFont="1" applyFill="1" applyAlignment="1">
      <alignment horizontal="left" vertical="center"/>
    </xf>
    <xf numFmtId="0" fontId="16" fillId="20" borderId="51" xfId="0" applyFont="1" applyFill="1" applyBorder="1" applyAlignment="1">
      <alignment horizontal="left" vertical="center"/>
    </xf>
    <xf numFmtId="0" fontId="16" fillId="20" borderId="51" xfId="0" applyFont="1" applyFill="1" applyBorder="1" applyAlignment="1">
      <alignment horizontal="center" vertical="center"/>
    </xf>
    <xf numFmtId="0" fontId="16" fillId="20" borderId="53" xfId="0" applyFont="1" applyFill="1" applyBorder="1" applyAlignment="1">
      <alignment horizontal="center" vertical="center"/>
    </xf>
    <xf numFmtId="0" fontId="20" fillId="21" borderId="51" xfId="0" applyFont="1" applyFill="1" applyBorder="1" applyAlignment="1">
      <alignment horizontal="left" vertical="center"/>
    </xf>
    <xf numFmtId="3" fontId="20" fillId="21" borderId="51" xfId="0" applyNumberFormat="1" applyFont="1" applyFill="1" applyBorder="1" applyAlignment="1">
      <alignment horizontal="right" vertical="center"/>
    </xf>
    <xf numFmtId="3" fontId="20" fillId="21" borderId="53" xfId="0" applyNumberFormat="1" applyFont="1" applyFill="1" applyBorder="1" applyAlignment="1">
      <alignment horizontal="right" vertical="center"/>
    </xf>
    <xf numFmtId="0" fontId="20" fillId="22" borderId="51" xfId="0" applyFont="1" applyFill="1" applyBorder="1" applyAlignment="1">
      <alignment horizontal="left" vertical="center"/>
    </xf>
    <xf numFmtId="3" fontId="20" fillId="22" borderId="51" xfId="0" applyNumberFormat="1" applyFont="1" applyFill="1" applyBorder="1" applyAlignment="1">
      <alignment horizontal="right" vertical="center"/>
    </xf>
    <xf numFmtId="3" fontId="20" fillId="22" borderId="53" xfId="0" applyNumberFormat="1" applyFont="1" applyFill="1" applyBorder="1" applyAlignment="1">
      <alignment horizontal="right" vertical="center"/>
    </xf>
    <xf numFmtId="0" fontId="16" fillId="21" borderId="51" xfId="0" applyFont="1" applyFill="1" applyBorder="1" applyAlignment="1">
      <alignment horizontal="left" vertical="center"/>
    </xf>
    <xf numFmtId="0" fontId="21" fillId="21" borderId="51" xfId="0" applyFont="1" applyFill="1" applyBorder="1" applyAlignment="1">
      <alignment horizontal="left" vertical="center"/>
    </xf>
    <xf numFmtId="3" fontId="16" fillId="21" borderId="51" xfId="0" applyNumberFormat="1" applyFont="1" applyFill="1" applyBorder="1" applyAlignment="1">
      <alignment horizontal="right" vertical="center"/>
    </xf>
    <xf numFmtId="3" fontId="16" fillId="21" borderId="53" xfId="0" applyNumberFormat="1" applyFont="1" applyFill="1" applyBorder="1" applyAlignment="1">
      <alignment horizontal="right" vertical="center"/>
    </xf>
    <xf numFmtId="0" fontId="21" fillId="22" borderId="51" xfId="0" applyFont="1" applyFill="1" applyBorder="1" applyAlignment="1">
      <alignment horizontal="left" vertical="center"/>
    </xf>
    <xf numFmtId="0" fontId="20" fillId="22" borderId="51" xfId="0" applyFont="1" applyFill="1" applyBorder="1" applyAlignment="1">
      <alignment horizontal="right" vertical="center"/>
    </xf>
    <xf numFmtId="0" fontId="20" fillId="22" borderId="53" xfId="0" applyFont="1" applyFill="1" applyBorder="1" applyAlignment="1">
      <alignment horizontal="right" vertical="center"/>
    </xf>
    <xf numFmtId="0" fontId="20" fillId="21" borderId="52" xfId="0" applyFont="1" applyFill="1" applyBorder="1" applyAlignment="1">
      <alignment horizontal="left" vertical="center"/>
    </xf>
    <xf numFmtId="0" fontId="22" fillId="21" borderId="52" xfId="0" applyFont="1" applyFill="1" applyBorder="1" applyAlignment="1">
      <alignment horizontal="left" vertical="center"/>
    </xf>
    <xf numFmtId="3" fontId="20" fillId="21" borderId="52" xfId="0" applyNumberFormat="1" applyFont="1" applyFill="1" applyBorder="1" applyAlignment="1">
      <alignment horizontal="right" vertical="center"/>
    </xf>
    <xf numFmtId="3" fontId="20" fillId="21" borderId="0" xfId="0" applyNumberFormat="1" applyFont="1" applyFill="1" applyAlignment="1">
      <alignment horizontal="right" vertical="center"/>
    </xf>
    <xf numFmtId="14" fontId="0" fillId="0" borderId="0" xfId="0" applyNumberFormat="1" applyAlignment="1"/>
    <xf numFmtId="0" fontId="18" fillId="23" borderId="52" xfId="0" applyFont="1" applyFill="1" applyBorder="1" applyAlignment="1">
      <alignment horizontal="left" vertical="center"/>
    </xf>
    <xf numFmtId="0" fontId="18" fillId="23" borderId="0" xfId="0" applyFont="1" applyFill="1" applyAlignment="1">
      <alignment horizontal="left" vertical="center"/>
    </xf>
    <xf numFmtId="0" fontId="23" fillId="23" borderId="54" xfId="0" applyFont="1" applyFill="1" applyBorder="1" applyAlignment="1">
      <alignment horizontal="left" vertical="center"/>
    </xf>
    <xf numFmtId="0" fontId="23" fillId="23" borderId="54" xfId="0" applyFont="1" applyFill="1" applyBorder="1" applyAlignment="1">
      <alignment horizontal="right" vertical="center"/>
    </xf>
    <xf numFmtId="0" fontId="23" fillId="23" borderId="55" xfId="0" applyFont="1" applyFill="1" applyBorder="1" applyAlignment="1">
      <alignment horizontal="right" vertical="center"/>
    </xf>
    <xf numFmtId="0" fontId="24" fillId="24" borderId="51" xfId="0" applyFont="1" applyFill="1" applyBorder="1" applyAlignment="1">
      <alignment horizontal="left" vertical="center"/>
    </xf>
    <xf numFmtId="3" fontId="24" fillId="24" borderId="51" xfId="0" applyNumberFormat="1" applyFont="1" applyFill="1" applyBorder="1" applyAlignment="1">
      <alignment horizontal="right" vertical="center"/>
    </xf>
    <xf numFmtId="3" fontId="24" fillId="24" borderId="53" xfId="0" applyNumberFormat="1" applyFont="1" applyFill="1" applyBorder="1" applyAlignment="1">
      <alignment horizontal="right" vertical="center"/>
    </xf>
    <xf numFmtId="0" fontId="24" fillId="25" borderId="54" xfId="0" applyFont="1" applyFill="1" applyBorder="1" applyAlignment="1">
      <alignment horizontal="left" vertical="center"/>
    </xf>
    <xf numFmtId="3" fontId="24" fillId="25" borderId="54" xfId="0" applyNumberFormat="1" applyFont="1" applyFill="1" applyBorder="1" applyAlignment="1">
      <alignment horizontal="right" vertical="center"/>
    </xf>
    <xf numFmtId="3" fontId="24" fillId="25" borderId="55" xfId="0" applyNumberFormat="1" applyFont="1" applyFill="1" applyBorder="1" applyAlignment="1">
      <alignment horizontal="right" vertical="center"/>
    </xf>
    <xf numFmtId="0" fontId="23" fillId="24" borderId="54" xfId="0" applyFont="1" applyFill="1" applyBorder="1" applyAlignment="1">
      <alignment horizontal="left" vertical="center"/>
    </xf>
    <xf numFmtId="0" fontId="22" fillId="24" borderId="54" xfId="0" applyFont="1" applyFill="1" applyBorder="1" applyAlignment="1">
      <alignment horizontal="left" vertical="center"/>
    </xf>
    <xf numFmtId="3" fontId="23" fillId="24" borderId="54" xfId="0" applyNumberFormat="1" applyFont="1" applyFill="1" applyBorder="1" applyAlignment="1">
      <alignment horizontal="right" vertical="center"/>
    </xf>
    <xf numFmtId="3" fontId="23" fillId="24" borderId="55" xfId="0" applyNumberFormat="1" applyFont="1" applyFill="1" applyBorder="1" applyAlignment="1">
      <alignment horizontal="right" vertical="center"/>
    </xf>
    <xf numFmtId="0" fontId="24" fillId="25" borderId="51" xfId="0" applyFont="1" applyFill="1" applyBorder="1" applyAlignment="1">
      <alignment horizontal="left" vertical="center"/>
    </xf>
    <xf numFmtId="0" fontId="22" fillId="25" borderId="51" xfId="0" applyFont="1" applyFill="1" applyBorder="1" applyAlignment="1">
      <alignment horizontal="left" vertical="center"/>
    </xf>
    <xf numFmtId="0" fontId="24" fillId="25" borderId="51" xfId="0" applyFont="1" applyFill="1" applyBorder="1" applyAlignment="1">
      <alignment horizontal="right" vertical="center"/>
    </xf>
    <xf numFmtId="0" fontId="24" fillId="25" borderId="53" xfId="0" applyFont="1" applyFill="1" applyBorder="1" applyAlignment="1">
      <alignment horizontal="right" vertical="center"/>
    </xf>
    <xf numFmtId="0" fontId="24" fillId="24" borderId="52" xfId="0" applyFont="1" applyFill="1" applyBorder="1" applyAlignment="1">
      <alignment horizontal="left" vertical="center"/>
    </xf>
    <xf numFmtId="0" fontId="22" fillId="24" borderId="52" xfId="0" applyFont="1" applyFill="1" applyBorder="1" applyAlignment="1">
      <alignment horizontal="left" vertical="center"/>
    </xf>
    <xf numFmtId="3" fontId="24" fillId="24" borderId="52" xfId="0" applyNumberFormat="1" applyFont="1" applyFill="1" applyBorder="1" applyAlignment="1">
      <alignment horizontal="right" vertical="center"/>
    </xf>
    <xf numFmtId="3" fontId="24" fillId="24" borderId="0" xfId="0" applyNumberFormat="1" applyFont="1" applyFill="1" applyAlignment="1">
      <alignment horizontal="right" vertical="center"/>
    </xf>
    <xf numFmtId="3" fontId="0" fillId="0" borderId="0" xfId="0" applyNumberFormat="1" applyAlignment="1"/>
    <xf numFmtId="10" fontId="0" fillId="0" borderId="0" xfId="2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4" fontId="0" fillId="0" borderId="0" xfId="0" applyNumberFormat="1" applyBorder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 wrapText="1"/>
    </xf>
    <xf numFmtId="10" fontId="0" fillId="26" borderId="1" xfId="2" applyNumberFormat="1" applyFont="1" applyFill="1" applyBorder="1" applyAlignment="1">
      <alignment horizontal="center" vertical="center" wrapText="1"/>
    </xf>
    <xf numFmtId="165" fontId="0" fillId="26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8" borderId="0" xfId="0" applyFill="1" applyBorder="1" applyAlignment="1">
      <alignment wrapText="1"/>
    </xf>
    <xf numFmtId="0" fontId="0" fillId="18" borderId="1" xfId="0" applyFill="1" applyBorder="1"/>
    <xf numFmtId="0" fontId="0" fillId="18" borderId="1" xfId="0" applyFill="1" applyBorder="1" applyAlignment="1"/>
    <xf numFmtId="0" fontId="0" fillId="11" borderId="1" xfId="0" applyFill="1" applyBorder="1" applyAlignment="1">
      <alignment horizontal="center" vertical="center" wrapText="1"/>
    </xf>
    <xf numFmtId="10" fontId="0" fillId="11" borderId="1" xfId="2" applyNumberFormat="1" applyFont="1" applyFill="1" applyBorder="1" applyAlignment="1">
      <alignment horizontal="center" vertical="center" wrapText="1"/>
    </xf>
    <xf numFmtId="165" fontId="0" fillId="11" borderId="1" xfId="1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0" borderId="1" xfId="0" applyFill="1" applyBorder="1" applyAlignment="1"/>
    <xf numFmtId="167" fontId="0" fillId="0" borderId="1" xfId="2" applyNumberFormat="1" applyFont="1" applyBorder="1"/>
    <xf numFmtId="0" fontId="0" fillId="17" borderId="1" xfId="0" applyFill="1" applyBorder="1"/>
    <xf numFmtId="0" fontId="0" fillId="17" borderId="58" xfId="0" applyFill="1" applyBorder="1"/>
    <xf numFmtId="10" fontId="0" fillId="0" borderId="58" xfId="0" applyNumberFormat="1" applyBorder="1"/>
    <xf numFmtId="167" fontId="0" fillId="0" borderId="58" xfId="2" applyNumberFormat="1" applyFont="1" applyBorder="1"/>
    <xf numFmtId="0" fontId="0" fillId="17" borderId="26" xfId="0" applyFill="1" applyBorder="1"/>
    <xf numFmtId="10" fontId="0" fillId="0" borderId="27" xfId="0" applyNumberFormat="1" applyBorder="1"/>
    <xf numFmtId="10" fontId="0" fillId="0" borderId="28" xfId="0" applyNumberFormat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0" fontId="0" fillId="6" borderId="1" xfId="2" applyNumberFormat="1" applyFont="1" applyFill="1" applyBorder="1" applyAlignment="1">
      <alignment horizontal="center" vertical="center" wrapText="1"/>
    </xf>
    <xf numFmtId="165" fontId="0" fillId="6" borderId="1" xfId="1" applyNumberFormat="1" applyFont="1" applyFill="1" applyBorder="1" applyAlignment="1">
      <alignment horizontal="center" vertical="center" wrapText="1"/>
    </xf>
    <xf numFmtId="0" fontId="26" fillId="0" borderId="38" xfId="0" applyFont="1" applyBorder="1" applyAlignment="1">
      <alignment vertical="center" wrapText="1"/>
    </xf>
    <xf numFmtId="10" fontId="0" fillId="0" borderId="1" xfId="2" applyNumberFormat="1" applyFont="1" applyFill="1" applyBorder="1" applyAlignment="1">
      <alignment horizontal="right"/>
    </xf>
    <xf numFmtId="0" fontId="26" fillId="0" borderId="0" xfId="0" applyFont="1" applyBorder="1" applyAlignment="1">
      <alignment vertical="center" wrapText="1"/>
    </xf>
    <xf numFmtId="0" fontId="2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Font="1"/>
    <xf numFmtId="0" fontId="25" fillId="0" borderId="37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168" fontId="12" fillId="0" borderId="0" xfId="0" applyNumberFormat="1" applyFont="1" applyBorder="1" applyAlignment="1">
      <alignment vertical="center"/>
    </xf>
    <xf numFmtId="168" fontId="12" fillId="0" borderId="38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horizontal="left" vertical="top"/>
    </xf>
    <xf numFmtId="168" fontId="12" fillId="0" borderId="38" xfId="0" applyNumberFormat="1" applyFont="1" applyBorder="1" applyAlignment="1">
      <alignment horizontal="left" vertical="top"/>
    </xf>
    <xf numFmtId="168" fontId="12" fillId="0" borderId="2" xfId="0" applyNumberFormat="1" applyFont="1" applyBorder="1" applyAlignment="1">
      <alignment vertical="center"/>
    </xf>
    <xf numFmtId="0" fontId="12" fillId="0" borderId="0" xfId="0" applyFont="1" applyAlignment="1">
      <alignment horizontal="center"/>
    </xf>
    <xf numFmtId="168" fontId="12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0" fillId="28" borderId="1" xfId="0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 wrapText="1"/>
    </xf>
    <xf numFmtId="10" fontId="0" fillId="28" borderId="1" xfId="2" applyNumberFormat="1" applyFont="1" applyFill="1" applyBorder="1" applyAlignment="1">
      <alignment horizontal="center" vertical="center" wrapText="1"/>
    </xf>
    <xf numFmtId="165" fontId="0" fillId="28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165" fontId="0" fillId="0" borderId="1" xfId="1" applyNumberFormat="1" applyFont="1" applyFill="1" applyBorder="1" applyAlignment="1">
      <alignment horizontal="center" vertical="center"/>
    </xf>
    <xf numFmtId="0" fontId="0" fillId="30" borderId="1" xfId="0" applyFill="1" applyBorder="1" applyAlignment="1">
      <alignment horizontal="center" vertical="center"/>
    </xf>
    <xf numFmtId="0" fontId="0" fillId="30" borderId="1" xfId="0" applyFill="1" applyBorder="1" applyAlignment="1">
      <alignment horizontal="center" vertical="center" wrapText="1"/>
    </xf>
    <xf numFmtId="10" fontId="0" fillId="30" borderId="1" xfId="2" applyNumberFormat="1" applyFont="1" applyFill="1" applyBorder="1" applyAlignment="1">
      <alignment horizontal="center" vertical="center" wrapText="1"/>
    </xf>
    <xf numFmtId="165" fontId="0" fillId="30" borderId="1" xfId="1" applyNumberFormat="1" applyFont="1" applyFill="1" applyBorder="1" applyAlignment="1">
      <alignment horizontal="center" vertical="center" wrapText="1"/>
    </xf>
    <xf numFmtId="0" fontId="2" fillId="30" borderId="1" xfId="0" applyFont="1" applyFill="1" applyBorder="1" applyAlignment="1">
      <alignment horizontal="center"/>
    </xf>
    <xf numFmtId="0" fontId="2" fillId="31" borderId="1" xfId="0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/>
    </xf>
    <xf numFmtId="168" fontId="12" fillId="0" borderId="38" xfId="0" applyNumberFormat="1" applyFont="1" applyBorder="1" applyAlignment="1">
      <alignment horizontal="center" vertical="center"/>
    </xf>
    <xf numFmtId="0" fontId="13" fillId="15" borderId="44" xfId="0" applyFont="1" applyFill="1" applyBorder="1" applyAlignment="1">
      <alignment horizontal="center" vertical="center" wrapText="1"/>
    </xf>
    <xf numFmtId="0" fontId="13" fillId="15" borderId="4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9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0" fillId="0" borderId="0" xfId="1" applyFont="1" applyBorder="1"/>
    <xf numFmtId="164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0" fillId="3" borderId="0" xfId="1" applyFont="1" applyFill="1" applyBorder="1" applyAlignment="1">
      <alignment horizontal="center" vertical="center" wrapText="1"/>
    </xf>
    <xf numFmtId="10" fontId="0" fillId="3" borderId="0" xfId="2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165" fontId="10" fillId="4" borderId="0" xfId="1" applyNumberFormat="1" applyFont="1" applyFill="1" applyBorder="1" applyAlignment="1">
      <alignment horizontal="center"/>
    </xf>
    <xf numFmtId="10" fontId="10" fillId="4" borderId="0" xfId="2" applyNumberFormat="1" applyFont="1" applyFill="1" applyBorder="1" applyAlignment="1">
      <alignment horizontal="center" vertical="center"/>
    </xf>
    <xf numFmtId="165" fontId="10" fillId="4" borderId="0" xfId="1" applyNumberFormat="1" applyFont="1" applyFill="1" applyBorder="1" applyAlignment="1">
      <alignment horizontal="center" vertical="center"/>
    </xf>
    <xf numFmtId="165" fontId="0" fillId="4" borderId="0" xfId="1" applyNumberFormat="1" applyFont="1" applyFill="1" applyBorder="1"/>
    <xf numFmtId="0" fontId="0" fillId="2" borderId="0" xfId="0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29" borderId="0" xfId="0" applyFill="1" applyBorder="1" applyAlignment="1">
      <alignment horizontal="center" vertical="center"/>
    </xf>
    <xf numFmtId="0" fontId="0" fillId="3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0" fillId="0" borderId="0" xfId="1" applyNumberFormat="1" applyFont="1" applyFill="1" applyBorder="1"/>
    <xf numFmtId="10" fontId="0" fillId="0" borderId="0" xfId="2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165" fontId="5" fillId="0" borderId="0" xfId="1" applyNumberFormat="1" applyFont="1" applyFill="1" applyBorder="1"/>
    <xf numFmtId="3" fontId="0" fillId="0" borderId="0" xfId="0" applyNumberFormat="1" applyFill="1" applyBorder="1"/>
    <xf numFmtId="0" fontId="11" fillId="0" borderId="0" xfId="0" applyFont="1" applyFill="1" applyBorder="1" applyAlignment="1">
      <alignment horizontal="center" vertical="center"/>
    </xf>
    <xf numFmtId="165" fontId="10" fillId="0" borderId="0" xfId="1" applyNumberFormat="1" applyFont="1" applyFill="1" applyBorder="1"/>
    <xf numFmtId="10" fontId="10" fillId="0" borderId="0" xfId="2" applyNumberFormat="1" applyFont="1" applyFill="1" applyBorder="1" applyAlignment="1">
      <alignment horizontal="center" vertical="center"/>
    </xf>
    <xf numFmtId="165" fontId="10" fillId="0" borderId="0" xfId="1" applyNumberFormat="1" applyFont="1" applyFill="1" applyBorder="1" applyAlignment="1">
      <alignment horizontal="center" vertical="center"/>
    </xf>
    <xf numFmtId="165" fontId="10" fillId="0" borderId="0" xfId="1" applyNumberFormat="1" applyFont="1" applyFill="1" applyBorder="1" applyAlignment="1">
      <alignment horizontal="center"/>
    </xf>
    <xf numFmtId="164" fontId="0" fillId="0" borderId="0" xfId="1" applyFont="1" applyFill="1" applyBorder="1"/>
    <xf numFmtId="10" fontId="30" fillId="0" borderId="0" xfId="0" applyNumberFormat="1" applyFont="1"/>
    <xf numFmtId="0" fontId="15" fillId="14" borderId="4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165" fontId="5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8" fontId="0" fillId="0" borderId="0" xfId="2" applyNumberFormat="1" applyFont="1" applyFill="1" applyBorder="1" applyAlignment="1">
      <alignment wrapText="1"/>
    </xf>
    <xf numFmtId="168" fontId="0" fillId="0" borderId="0" xfId="0" applyNumberFormat="1" applyFill="1" applyBorder="1" applyAlignment="1">
      <alignment wrapText="1"/>
    </xf>
    <xf numFmtId="0" fontId="0" fillId="17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8" fillId="0" borderId="2" xfId="0" applyFont="1" applyFill="1" applyBorder="1" applyAlignment="1">
      <alignment horizontal="center"/>
    </xf>
    <xf numFmtId="168" fontId="12" fillId="0" borderId="2" xfId="0" applyNumberFormat="1" applyFont="1" applyBorder="1" applyAlignment="1">
      <alignment horizontal="center" vertical="center"/>
    </xf>
    <xf numFmtId="168" fontId="12" fillId="0" borderId="38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left" wrapText="1"/>
    </xf>
    <xf numFmtId="0" fontId="28" fillId="0" borderId="38" xfId="0" applyFont="1" applyBorder="1" applyAlignment="1">
      <alignment horizontal="left" wrapText="1"/>
    </xf>
    <xf numFmtId="0" fontId="28" fillId="0" borderId="38" xfId="0" applyFont="1" applyBorder="1" applyAlignment="1">
      <alignment horizontal="center" wrapText="1"/>
    </xf>
    <xf numFmtId="0" fontId="2" fillId="27" borderId="14" xfId="0" applyFont="1" applyFill="1" applyBorder="1" applyAlignment="1">
      <alignment horizontal="left"/>
    </xf>
    <xf numFmtId="0" fontId="2" fillId="27" borderId="15" xfId="0" applyFont="1" applyFill="1" applyBorder="1" applyAlignment="1">
      <alignment horizontal="left"/>
    </xf>
    <xf numFmtId="0" fontId="2" fillId="27" borderId="16" xfId="0" applyFont="1" applyFill="1" applyBorder="1" applyAlignment="1">
      <alignment horizontal="left"/>
    </xf>
    <xf numFmtId="0" fontId="2" fillId="27" borderId="14" xfId="0" applyFont="1" applyFill="1" applyBorder="1" applyAlignment="1">
      <alignment horizontal="left" vertical="top" wrapText="1"/>
    </xf>
    <xf numFmtId="0" fontId="2" fillId="27" borderId="15" xfId="0" applyFont="1" applyFill="1" applyBorder="1" applyAlignment="1">
      <alignment horizontal="left" vertical="top" wrapText="1"/>
    </xf>
    <xf numFmtId="0" fontId="2" fillId="27" borderId="16" xfId="0" applyFont="1" applyFill="1" applyBorder="1" applyAlignment="1">
      <alignment horizontal="left" vertical="top" wrapText="1"/>
    </xf>
    <xf numFmtId="0" fontId="13" fillId="15" borderId="44" xfId="0" applyFont="1" applyFill="1" applyBorder="1" applyAlignment="1">
      <alignment horizontal="center" vertical="center" wrapText="1"/>
    </xf>
    <xf numFmtId="0" fontId="13" fillId="15" borderId="46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3" xfId="0" applyFont="1" applyFill="1" applyBorder="1" applyAlignment="1">
      <alignment horizontal="center" vertical="center" wrapText="1"/>
    </xf>
    <xf numFmtId="0" fontId="2" fillId="16" borderId="47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45" xfId="0" applyFont="1" applyFill="1" applyBorder="1" applyAlignment="1">
      <alignment horizontal="center" vertical="center" wrapText="1"/>
    </xf>
    <xf numFmtId="0" fontId="23" fillId="23" borderId="56" xfId="0" applyFont="1" applyFill="1" applyBorder="1" applyAlignment="1">
      <alignment horizontal="left" vertical="center"/>
    </xf>
    <xf numFmtId="0" fontId="23" fillId="23" borderId="57" xfId="0" applyFont="1" applyFill="1" applyBorder="1" applyAlignment="1">
      <alignment horizontal="left" vertical="center"/>
    </xf>
    <xf numFmtId="0" fontId="23" fillId="23" borderId="56" xfId="0" applyFont="1" applyFill="1" applyBorder="1" applyAlignment="1">
      <alignment horizontal="center" vertical="center"/>
    </xf>
    <xf numFmtId="0" fontId="23" fillId="23" borderId="57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19" borderId="1" xfId="0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66FF"/>
      <color rgb="FFCC0099"/>
      <color rgb="FFFF9966"/>
      <color rgb="FFFF0000"/>
      <color rgb="FFFFCCCC"/>
      <color rgb="FFFF66CC"/>
      <color rgb="FFFAFA66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54949781287645E-2"/>
          <c:y val="0.13824032946167475"/>
          <c:w val="0.92444987862883266"/>
          <c:h val="0.6723700810532549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Bancos'!$U$2</c:f>
              <c:strCache>
                <c:ptCount val="1"/>
                <c:pt idx="0">
                  <c:v>ROE tes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'Dados dos Bancos'!$C$91:$C$107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'Dados dos Bancos'!$U$91:$U$107</c:f>
              <c:numCache>
                <c:formatCode>0.0000</c:formatCode>
                <c:ptCount val="17"/>
                <c:pt idx="0">
                  <c:v>0.13156745096085548</c:v>
                </c:pt>
                <c:pt idx="1">
                  <c:v>0.16925762518088794</c:v>
                </c:pt>
                <c:pt idx="2">
                  <c:v>0.16823967705565512</c:v>
                </c:pt>
                <c:pt idx="3">
                  <c:v>0.23400718289322892</c:v>
                </c:pt>
                <c:pt idx="4">
                  <c:v>0.313738177611883</c:v>
                </c:pt>
                <c:pt idx="5">
                  <c:v>0.27116912195229115</c:v>
                </c:pt>
                <c:pt idx="6">
                  <c:v>0.26671947333610341</c:v>
                </c:pt>
                <c:pt idx="7">
                  <c:v>0.26018160094184917</c:v>
                </c:pt>
                <c:pt idx="8">
                  <c:v>0.22967471144840509</c:v>
                </c:pt>
                <c:pt idx="9">
                  <c:v>0.18579580747692695</c:v>
                </c:pt>
                <c:pt idx="10">
                  <c:v>0.18798352588683911</c:v>
                </c:pt>
                <c:pt idx="11">
                  <c:v>0.18821135845633497</c:v>
                </c:pt>
                <c:pt idx="12">
                  <c:v>0.15846144247526456</c:v>
                </c:pt>
                <c:pt idx="13">
                  <c:v>0.15267583325985304</c:v>
                </c:pt>
                <c:pt idx="14">
                  <c:v>9.8107246605798157E-2</c:v>
                </c:pt>
                <c:pt idx="15">
                  <c:v>0.11642404782266066</c:v>
                </c:pt>
                <c:pt idx="16">
                  <c:v>0.11855852686748006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8-4EBC-941F-7D7BA4A02E07}"/>
            </c:ext>
          </c:extLst>
        </c:ser>
        <c:ser>
          <c:idx val="1"/>
          <c:order val="1"/>
          <c:tx>
            <c:strRef>
              <c:f>'Dados dos Bancos'!$V$2</c:f>
              <c:strCache>
                <c:ptCount val="1"/>
                <c:pt idx="0">
                  <c:v>ROEABR tes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'Dados dos Bancos'!$C$91:$C$107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'Dados dos Bancos'!$V$91:$V$107</c:f>
              <c:numCache>
                <c:formatCode>0.0000</c:formatCode>
                <c:ptCount val="17"/>
                <c:pt idx="0">
                  <c:v>8.9389235775656328E-2</c:v>
                </c:pt>
                <c:pt idx="1">
                  <c:v>0.22039972713252201</c:v>
                </c:pt>
                <c:pt idx="2">
                  <c:v>0.16330522274506448</c:v>
                </c:pt>
                <c:pt idx="3">
                  <c:v>0.23449920354459497</c:v>
                </c:pt>
                <c:pt idx="4">
                  <c:v>0.31943379512247966</c:v>
                </c:pt>
                <c:pt idx="5">
                  <c:v>0.2702863772310008</c:v>
                </c:pt>
                <c:pt idx="6">
                  <c:v>0.26599224827674656</c:v>
                </c:pt>
                <c:pt idx="7">
                  <c:v>0.26196961240105326</c:v>
                </c:pt>
                <c:pt idx="8">
                  <c:v>0.54627619210822487</c:v>
                </c:pt>
                <c:pt idx="9">
                  <c:v>6.8873250991913479E-2</c:v>
                </c:pt>
                <c:pt idx="10">
                  <c:v>0.12754945141102506</c:v>
                </c:pt>
                <c:pt idx="11">
                  <c:v>0.14929298313554534</c:v>
                </c:pt>
                <c:pt idx="12">
                  <c:v>1.0312940591624301E-2</c:v>
                </c:pt>
                <c:pt idx="13">
                  <c:v>7.6633062382642322E-2</c:v>
                </c:pt>
                <c:pt idx="14">
                  <c:v>0.20951790180828209</c:v>
                </c:pt>
                <c:pt idx="15">
                  <c:v>0.14076934007603759</c:v>
                </c:pt>
                <c:pt idx="16">
                  <c:v>0.16998109593659322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8-4EBC-941F-7D7BA4A02E07}"/>
            </c:ext>
          </c:extLst>
        </c:ser>
        <c:ser>
          <c:idx val="2"/>
          <c:order val="2"/>
          <c:tx>
            <c:strRef>
              <c:f>'Dados dos Bancos'!$W$2</c:f>
              <c:strCache>
                <c:ptCount val="1"/>
                <c:pt idx="0">
                  <c:v>ROEAJ tes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'Dados dos Bancos'!$C$91:$C$107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'Dados dos Bancos'!$W$91:$W$107</c:f>
              <c:numCache>
                <c:formatCode>0.0000</c:formatCode>
                <c:ptCount val="17"/>
                <c:pt idx="0">
                  <c:v>0.13156745096085548</c:v>
                </c:pt>
                <c:pt idx="1">
                  <c:v>0.16925762518088794</c:v>
                </c:pt>
                <c:pt idx="2">
                  <c:v>0.16823967705565512</c:v>
                </c:pt>
                <c:pt idx="3">
                  <c:v>0.23400718289322892</c:v>
                </c:pt>
                <c:pt idx="4">
                  <c:v>0.30216624266263276</c:v>
                </c:pt>
                <c:pt idx="5">
                  <c:v>0.24530892380293437</c:v>
                </c:pt>
                <c:pt idx="6">
                  <c:v>0.23367852854196763</c:v>
                </c:pt>
                <c:pt idx="7">
                  <c:v>0.22243697415170335</c:v>
                </c:pt>
                <c:pt idx="8">
                  <c:v>0.19376122567792561</c:v>
                </c:pt>
                <c:pt idx="9">
                  <c:v>0.16239986770348089</c:v>
                </c:pt>
                <c:pt idx="10">
                  <c:v>0.15268122907361251</c:v>
                </c:pt>
                <c:pt idx="11">
                  <c:v>0.14970986329223868</c:v>
                </c:pt>
                <c:pt idx="12">
                  <c:v>0.14086916887407291</c:v>
                </c:pt>
                <c:pt idx="13">
                  <c:v>0.13428619824092161</c:v>
                </c:pt>
                <c:pt idx="14">
                  <c:v>9.1832213784416014E-2</c:v>
                </c:pt>
                <c:pt idx="15">
                  <c:v>0.10637789293696683</c:v>
                </c:pt>
                <c:pt idx="16">
                  <c:v>0.10628843748168271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8-4EBC-941F-7D7BA4A02E07}"/>
            </c:ext>
          </c:extLst>
        </c:ser>
        <c:ser>
          <c:idx val="3"/>
          <c:order val="3"/>
          <c:tx>
            <c:strRef>
              <c:f>'Dados dos Bancos'!$X$2</c:f>
              <c:strCache>
                <c:ptCount val="1"/>
                <c:pt idx="0">
                  <c:v>ROEABRAJ tes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'Dados dos Bancos'!$C$91:$C$107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'Dados dos Bancos'!$X$91:$X$107</c:f>
              <c:numCache>
                <c:formatCode>0.0000</c:formatCode>
                <c:ptCount val="17"/>
                <c:pt idx="0">
                  <c:v>8.9389235775656328E-2</c:v>
                </c:pt>
                <c:pt idx="1">
                  <c:v>0.22039972713252201</c:v>
                </c:pt>
                <c:pt idx="2">
                  <c:v>0.16330522274506448</c:v>
                </c:pt>
                <c:pt idx="3">
                  <c:v>0.23449920354459497</c:v>
                </c:pt>
                <c:pt idx="4">
                  <c:v>0.30752166230339878</c:v>
                </c:pt>
                <c:pt idx="5">
                  <c:v>0.24454842823739778</c:v>
                </c:pt>
                <c:pt idx="6">
                  <c:v>0.23306897866862461</c:v>
                </c:pt>
                <c:pt idx="7">
                  <c:v>0.22387215772949254</c:v>
                </c:pt>
                <c:pt idx="8">
                  <c:v>0.44605234712504893</c:v>
                </c:pt>
                <c:pt idx="9">
                  <c:v>6.7561831352253132E-2</c:v>
                </c:pt>
                <c:pt idx="10">
                  <c:v>0.10735483728075285</c:v>
                </c:pt>
                <c:pt idx="11">
                  <c:v>0.12182596719786806</c:v>
                </c:pt>
                <c:pt idx="12">
                  <c:v>2.8077504557257847E-2</c:v>
                </c:pt>
                <c:pt idx="13">
                  <c:v>7.5608107081509224E-2</c:v>
                </c:pt>
                <c:pt idx="14">
                  <c:v>0.17759061549953303</c:v>
                </c:pt>
                <c:pt idx="15">
                  <c:v>0.12573020394186557</c:v>
                </c:pt>
                <c:pt idx="16">
                  <c:v>0.15141673255440352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F8-4EBC-941F-7D7BA4A02E07}"/>
            </c:ext>
          </c:extLst>
        </c:ser>
        <c:ser>
          <c:idx val="4"/>
          <c:order val="4"/>
          <c:tx>
            <c:strRef>
              <c:f>'Dados dos Bancos'!$Y$2</c:f>
              <c:strCache>
                <c:ptCount val="1"/>
                <c:pt idx="0">
                  <c:v>Selic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'Dados dos Bancos'!$C$91:$C$107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'Dados dos Bancos'!$Y$91:$Y$107</c:f>
              <c:numCache>
                <c:formatCode>0.0000</c:formatCode>
                <c:ptCount val="17"/>
                <c:pt idx="0">
                  <c:v>0.19210000000000002</c:v>
                </c:pt>
                <c:pt idx="1">
                  <c:v>0.23469999999999999</c:v>
                </c:pt>
                <c:pt idx="2">
                  <c:v>0.1638</c:v>
                </c:pt>
                <c:pt idx="3">
                  <c:v>0.1913</c:v>
                </c:pt>
                <c:pt idx="4">
                  <c:v>0.14910000000000001</c:v>
                </c:pt>
                <c:pt idx="5">
                  <c:v>0.12039999999999999</c:v>
                </c:pt>
                <c:pt idx="6">
                  <c:v>0.1245</c:v>
                </c:pt>
                <c:pt idx="7">
                  <c:v>0.1013</c:v>
                </c:pt>
                <c:pt idx="8">
                  <c:v>9.9000000000000005E-2</c:v>
                </c:pt>
                <c:pt idx="9">
                  <c:v>0.1176</c:v>
                </c:pt>
                <c:pt idx="10">
                  <c:v>8.6199999999999999E-2</c:v>
                </c:pt>
                <c:pt idx="11">
                  <c:v>8.2899999999999988E-2</c:v>
                </c:pt>
                <c:pt idx="12">
                  <c:v>0.1096</c:v>
                </c:pt>
                <c:pt idx="13">
                  <c:v>0.13470000000000001</c:v>
                </c:pt>
                <c:pt idx="14">
                  <c:v>0.14180000000000001</c:v>
                </c:pt>
                <c:pt idx="15">
                  <c:v>0.1011</c:v>
                </c:pt>
                <c:pt idx="16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F8-4EBC-941F-7D7BA4A02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535840"/>
        <c:axId val="471528768"/>
      </c:lineChart>
      <c:catAx>
        <c:axId val="47153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528768"/>
        <c:crosses val="autoZero"/>
        <c:auto val="1"/>
        <c:lblAlgn val="ctr"/>
        <c:lblOffset val="100"/>
        <c:noMultiLvlLbl val="0"/>
      </c:catAx>
      <c:valAx>
        <c:axId val="4715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53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ROE's</a:t>
            </a:r>
            <a:r>
              <a:rPr lang="pt-BR" baseline="0"/>
              <a:t> Vs SELIC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'Análise BNB'!$C$3</c:f>
              <c:strCache>
                <c:ptCount val="1"/>
                <c:pt idx="0">
                  <c:v>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'Análise BNB'!$B$4:$B$19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BNB'!$C$4:$C$19</c:f>
              <c:numCache>
                <c:formatCode>General</c:formatCode>
                <c:ptCount val="16"/>
                <c:pt idx="0">
                  <c:v>0.13745091923624139</c:v>
                </c:pt>
                <c:pt idx="1">
                  <c:v>6.8168851787566501E-2</c:v>
                </c:pt>
                <c:pt idx="2">
                  <c:v>0.11452846040035894</c:v>
                </c:pt>
                <c:pt idx="3">
                  <c:v>0.1156747750333403</c:v>
                </c:pt>
                <c:pt idx="4">
                  <c:v>0.14063402335576139</c:v>
                </c:pt>
                <c:pt idx="5">
                  <c:v>0.14154173414121873</c:v>
                </c:pt>
                <c:pt idx="6">
                  <c:v>0.24766280649102448</c:v>
                </c:pt>
                <c:pt idx="7">
                  <c:v>0.23720054859590248</c:v>
                </c:pt>
                <c:pt idx="8">
                  <c:v>0.14756957720391439</c:v>
                </c:pt>
                <c:pt idx="9">
                  <c:v>0.1396984182032765</c:v>
                </c:pt>
                <c:pt idx="10">
                  <c:v>0.32732937715055105</c:v>
                </c:pt>
                <c:pt idx="11">
                  <c:v>0.12008934954291052</c:v>
                </c:pt>
                <c:pt idx="12">
                  <c:v>0.17675692022836348</c:v>
                </c:pt>
                <c:pt idx="13">
                  <c:v>9.8445740175285928E-2</c:v>
                </c:pt>
                <c:pt idx="14">
                  <c:v>0.23593574983954219</c:v>
                </c:pt>
                <c:pt idx="15">
                  <c:v>0.19747754083839425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F-45B1-8BE8-461AF82F2B80}"/>
            </c:ext>
          </c:extLst>
        </c:ser>
        <c:ser>
          <c:idx val="1"/>
          <c:order val="1"/>
          <c:tx>
            <c:strRef>
              <c:f>'Análise BNB'!$D$3</c:f>
              <c:strCache>
                <c:ptCount val="1"/>
                <c:pt idx="0">
                  <c:v>roeabr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'Análise BNB'!$B$4:$B$19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BNB'!$D$4:$D$19</c:f>
              <c:numCache>
                <c:formatCode>General</c:formatCode>
                <c:ptCount val="16"/>
                <c:pt idx="0">
                  <c:v>0.10409778981683636</c:v>
                </c:pt>
                <c:pt idx="1">
                  <c:v>0.13301516106163641</c:v>
                </c:pt>
                <c:pt idx="2">
                  <c:v>9.8992042000823177E-2</c:v>
                </c:pt>
                <c:pt idx="3">
                  <c:v>0.12261734886433499</c:v>
                </c:pt>
                <c:pt idx="4">
                  <c:v>0.167132882413394</c:v>
                </c:pt>
                <c:pt idx="5">
                  <c:v>0.13889053193444514</c:v>
                </c:pt>
                <c:pt idx="6">
                  <c:v>0.2457645812463346</c:v>
                </c:pt>
                <c:pt idx="7">
                  <c:v>0.2666054129920491</c:v>
                </c:pt>
                <c:pt idx="8">
                  <c:v>0.11557005154982408</c:v>
                </c:pt>
                <c:pt idx="9">
                  <c:v>0.13970684983725837</c:v>
                </c:pt>
                <c:pt idx="10">
                  <c:v>0.2211120530593926</c:v>
                </c:pt>
                <c:pt idx="11">
                  <c:v>0.19095218660769359</c:v>
                </c:pt>
                <c:pt idx="12">
                  <c:v>0.13554832720502916</c:v>
                </c:pt>
                <c:pt idx="13">
                  <c:v>-3.9887972861031122E-2</c:v>
                </c:pt>
                <c:pt idx="14">
                  <c:v>0.22434862507434719</c:v>
                </c:pt>
                <c:pt idx="15">
                  <c:v>0.11982593461801609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F-45B1-8BE8-461AF82F2B80}"/>
            </c:ext>
          </c:extLst>
        </c:ser>
        <c:ser>
          <c:idx val="2"/>
          <c:order val="2"/>
          <c:tx>
            <c:strRef>
              <c:f>'Análise BNB'!$E$3</c:f>
              <c:strCache>
                <c:ptCount val="1"/>
                <c:pt idx="0">
                  <c:v>roeaj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'Análise BNB'!$B$4:$B$19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BNB'!$E$4:$E$19</c:f>
              <c:numCache>
                <c:formatCode>General</c:formatCode>
                <c:ptCount val="16"/>
                <c:pt idx="0">
                  <c:v>0.13745091923624139</c:v>
                </c:pt>
                <c:pt idx="1">
                  <c:v>6.8168851787566501E-2</c:v>
                </c:pt>
                <c:pt idx="2">
                  <c:v>0.11452846040035894</c:v>
                </c:pt>
                <c:pt idx="3">
                  <c:v>0.1156747750333403</c:v>
                </c:pt>
                <c:pt idx="4">
                  <c:v>0.14063402335576139</c:v>
                </c:pt>
                <c:pt idx="5">
                  <c:v>0.14154173414121873</c:v>
                </c:pt>
                <c:pt idx="6">
                  <c:v>0.24766280649102448</c:v>
                </c:pt>
                <c:pt idx="7">
                  <c:v>0.23720054859590248</c:v>
                </c:pt>
                <c:pt idx="8">
                  <c:v>0.11964462642876074</c:v>
                </c:pt>
                <c:pt idx="9">
                  <c:v>0.13363564979798162</c:v>
                </c:pt>
                <c:pt idx="10">
                  <c:v>0.25854246555513793</c:v>
                </c:pt>
                <c:pt idx="11">
                  <c:v>0.11812873188813514</c:v>
                </c:pt>
                <c:pt idx="12">
                  <c:v>0.15216415079847939</c:v>
                </c:pt>
                <c:pt idx="13">
                  <c:v>0.1170166176473413</c:v>
                </c:pt>
                <c:pt idx="14">
                  <c:v>0.13178657937272611</c:v>
                </c:pt>
                <c:pt idx="15">
                  <c:v>0.12594470039773087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F-45B1-8BE8-461AF82F2B80}"/>
            </c:ext>
          </c:extLst>
        </c:ser>
        <c:ser>
          <c:idx val="3"/>
          <c:order val="3"/>
          <c:tx>
            <c:strRef>
              <c:f>'Análise BNB'!$F$3</c:f>
              <c:strCache>
                <c:ptCount val="1"/>
                <c:pt idx="0">
                  <c:v>roeabraj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'Análise BNB'!$B$4:$B$19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BNB'!$F$4:$F$19</c:f>
              <c:numCache>
                <c:formatCode>General</c:formatCode>
                <c:ptCount val="16"/>
                <c:pt idx="0">
                  <c:v>0.10409778981683636</c:v>
                </c:pt>
                <c:pt idx="1">
                  <c:v>0.13301516106163641</c:v>
                </c:pt>
                <c:pt idx="2">
                  <c:v>9.8992042000823177E-2</c:v>
                </c:pt>
                <c:pt idx="3">
                  <c:v>0.12261734886433499</c:v>
                </c:pt>
                <c:pt idx="4">
                  <c:v>0.167132882413394</c:v>
                </c:pt>
                <c:pt idx="5">
                  <c:v>0.13889053193444514</c:v>
                </c:pt>
                <c:pt idx="6">
                  <c:v>0.2457645812463346</c:v>
                </c:pt>
                <c:pt idx="7">
                  <c:v>0.2666054129920491</c:v>
                </c:pt>
                <c:pt idx="8">
                  <c:v>9.4061209201448837E-2</c:v>
                </c:pt>
                <c:pt idx="9">
                  <c:v>0.1336412540868252</c:v>
                </c:pt>
                <c:pt idx="10">
                  <c:v>0.18751810383746573</c:v>
                </c:pt>
                <c:pt idx="11">
                  <c:v>0.16591003355868744</c:v>
                </c:pt>
                <c:pt idx="12">
                  <c:v>0.12656278881893515</c:v>
                </c:pt>
                <c:pt idx="13">
                  <c:v>4.4292405638440766E-2</c:v>
                </c:pt>
                <c:pt idx="14">
                  <c:v>0.12531436166681012</c:v>
                </c:pt>
                <c:pt idx="15">
                  <c:v>7.6421052091661432E-2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7F-45B1-8BE8-461AF82F2B80}"/>
            </c:ext>
          </c:extLst>
        </c:ser>
        <c:ser>
          <c:idx val="4"/>
          <c:order val="4"/>
          <c:tx>
            <c:strRef>
              <c:f>'Análise BNB'!$G$3</c:f>
              <c:strCache>
                <c:ptCount val="1"/>
                <c:pt idx="0">
                  <c:v>SELIC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'Análise BNB'!$B$4:$B$19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BNB'!$G$4:$G$19</c:f>
              <c:numCache>
                <c:formatCode>General</c:formatCode>
                <c:ptCount val="16"/>
                <c:pt idx="0">
                  <c:v>0.19210000000000002</c:v>
                </c:pt>
                <c:pt idx="1">
                  <c:v>0.23469999999999999</c:v>
                </c:pt>
                <c:pt idx="2">
                  <c:v>0.1638</c:v>
                </c:pt>
                <c:pt idx="3">
                  <c:v>0.1913</c:v>
                </c:pt>
                <c:pt idx="4">
                  <c:v>0.14910000000000001</c:v>
                </c:pt>
                <c:pt idx="5">
                  <c:v>0.12039999999999999</c:v>
                </c:pt>
                <c:pt idx="6">
                  <c:v>0.1245</c:v>
                </c:pt>
                <c:pt idx="7">
                  <c:v>0.1013</c:v>
                </c:pt>
                <c:pt idx="8">
                  <c:v>9.9000000000000005E-2</c:v>
                </c:pt>
                <c:pt idx="9">
                  <c:v>0.1176</c:v>
                </c:pt>
                <c:pt idx="10">
                  <c:v>8.6199999999999999E-2</c:v>
                </c:pt>
                <c:pt idx="11">
                  <c:v>8.2899999999999988E-2</c:v>
                </c:pt>
                <c:pt idx="12">
                  <c:v>0.1096</c:v>
                </c:pt>
                <c:pt idx="13">
                  <c:v>0.13470000000000001</c:v>
                </c:pt>
                <c:pt idx="14">
                  <c:v>0.14180000000000001</c:v>
                </c:pt>
                <c:pt idx="15">
                  <c:v>0.1011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7F-45B1-8BE8-461AF82F2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290112"/>
        <c:axId val="1001291200"/>
      </c:lineChart>
      <c:catAx>
        <c:axId val="100129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1291200"/>
        <c:crosses val="autoZero"/>
        <c:auto val="1"/>
        <c:lblAlgn val="ctr"/>
        <c:lblOffset val="100"/>
        <c:noMultiLvlLbl val="0"/>
      </c:catAx>
      <c:valAx>
        <c:axId val="100129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129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'Análise BASA'!$C$3</c:f>
              <c:strCache>
                <c:ptCount val="1"/>
                <c:pt idx="0">
                  <c:v>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'Análise BASA'!$B$4:$B$19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BASA'!$C$4:$C$19</c:f>
              <c:numCache>
                <c:formatCode>0.00%</c:formatCode>
                <c:ptCount val="16"/>
                <c:pt idx="0">
                  <c:v>0.1396646397882832</c:v>
                </c:pt>
                <c:pt idx="1">
                  <c:v>0.22120616227309067</c:v>
                </c:pt>
                <c:pt idx="2">
                  <c:v>7.9202724798270993E-2</c:v>
                </c:pt>
                <c:pt idx="3">
                  <c:v>0.16262464614603589</c:v>
                </c:pt>
                <c:pt idx="4">
                  <c:v>0.10038550232371408</c:v>
                </c:pt>
                <c:pt idx="5">
                  <c:v>0.1027956204671738</c:v>
                </c:pt>
                <c:pt idx="6">
                  <c:v>0.11718212414790517</c:v>
                </c:pt>
                <c:pt idx="7">
                  <c:v>1.3904768198790603E-2</c:v>
                </c:pt>
                <c:pt idx="8">
                  <c:v>7.4218531792541231E-2</c:v>
                </c:pt>
                <c:pt idx="9">
                  <c:v>4.0626429258599203E-2</c:v>
                </c:pt>
                <c:pt idx="10">
                  <c:v>8.6953391713781775E-2</c:v>
                </c:pt>
                <c:pt idx="11">
                  <c:v>0.10116414880661027</c:v>
                </c:pt>
                <c:pt idx="12">
                  <c:v>8.4820528854318483E-2</c:v>
                </c:pt>
                <c:pt idx="13">
                  <c:v>0.1078280679187591</c:v>
                </c:pt>
                <c:pt idx="14">
                  <c:v>6.7260637390687245E-2</c:v>
                </c:pt>
                <c:pt idx="15">
                  <c:v>3.3536011258046033E-2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1-4BAD-AF2D-63A387FAFAD9}"/>
            </c:ext>
          </c:extLst>
        </c:ser>
        <c:ser>
          <c:idx val="1"/>
          <c:order val="1"/>
          <c:tx>
            <c:strRef>
              <c:f>'Análise BASA'!$D$3</c:f>
              <c:strCache>
                <c:ptCount val="1"/>
                <c:pt idx="0">
                  <c:v>roeabr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'Análise BASA'!$B$4:$B$19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BASA'!$D$4:$D$19</c:f>
              <c:numCache>
                <c:formatCode>0.00%</c:formatCode>
                <c:ptCount val="16"/>
                <c:pt idx="0">
                  <c:v>0.1396646397882832</c:v>
                </c:pt>
                <c:pt idx="1">
                  <c:v>0.22120616227309067</c:v>
                </c:pt>
                <c:pt idx="2">
                  <c:v>7.9202724798270993E-2</c:v>
                </c:pt>
                <c:pt idx="3">
                  <c:v>0.16262464614603589</c:v>
                </c:pt>
                <c:pt idx="4">
                  <c:v>0.10038550232371408</c:v>
                </c:pt>
                <c:pt idx="5">
                  <c:v>0.1027956204671738</c:v>
                </c:pt>
                <c:pt idx="6">
                  <c:v>0.11718212414790517</c:v>
                </c:pt>
                <c:pt idx="7">
                  <c:v>1.3904768198790603E-2</c:v>
                </c:pt>
                <c:pt idx="8">
                  <c:v>7.4218531792541231E-2</c:v>
                </c:pt>
                <c:pt idx="9">
                  <c:v>4.2855070818834447E-2</c:v>
                </c:pt>
                <c:pt idx="10">
                  <c:v>6.5940821187900789E-2</c:v>
                </c:pt>
                <c:pt idx="11">
                  <c:v>-0.16950751644004725</c:v>
                </c:pt>
                <c:pt idx="12">
                  <c:v>7.3339910628046567E-2</c:v>
                </c:pt>
                <c:pt idx="13">
                  <c:v>0.13357197149335084</c:v>
                </c:pt>
                <c:pt idx="14">
                  <c:v>3.8640819797242432E-2</c:v>
                </c:pt>
                <c:pt idx="15">
                  <c:v>-2.8564382199793532E-2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1-4BAD-AF2D-63A387FAFAD9}"/>
            </c:ext>
          </c:extLst>
        </c:ser>
        <c:ser>
          <c:idx val="2"/>
          <c:order val="2"/>
          <c:tx>
            <c:strRef>
              <c:f>'Análise BASA'!$E$3</c:f>
              <c:strCache>
                <c:ptCount val="1"/>
                <c:pt idx="0">
                  <c:v>roeaj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'Análise BASA'!$B$4:$B$19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BASA'!$E$4:$E$19</c:f>
              <c:numCache>
                <c:formatCode>0.00%</c:formatCode>
                <c:ptCount val="16"/>
                <c:pt idx="0">
                  <c:v>0.1396646397882832</c:v>
                </c:pt>
                <c:pt idx="1">
                  <c:v>0.22120616227309067</c:v>
                </c:pt>
                <c:pt idx="2">
                  <c:v>7.9202724798270993E-2</c:v>
                </c:pt>
                <c:pt idx="3">
                  <c:v>0.16262464614603589</c:v>
                </c:pt>
                <c:pt idx="4">
                  <c:v>0.10038550232371408</c:v>
                </c:pt>
                <c:pt idx="5">
                  <c:v>0.1027956204671738</c:v>
                </c:pt>
                <c:pt idx="6">
                  <c:v>0.11718212414790517</c:v>
                </c:pt>
                <c:pt idx="7">
                  <c:v>1.3904768198790603E-2</c:v>
                </c:pt>
                <c:pt idx="8">
                  <c:v>7.4218531792541231E-2</c:v>
                </c:pt>
                <c:pt idx="9">
                  <c:v>4.0626429258599203E-2</c:v>
                </c:pt>
                <c:pt idx="10">
                  <c:v>8.6953391713781775E-2</c:v>
                </c:pt>
                <c:pt idx="11">
                  <c:v>0.10116414880661027</c:v>
                </c:pt>
                <c:pt idx="12">
                  <c:v>6.9569347511643662E-2</c:v>
                </c:pt>
                <c:pt idx="13">
                  <c:v>0.11964963156850431</c:v>
                </c:pt>
                <c:pt idx="14">
                  <c:v>9.5360194724581557E-2</c:v>
                </c:pt>
                <c:pt idx="15">
                  <c:v>5.8402371073458061E-2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1-4BAD-AF2D-63A387FAFAD9}"/>
            </c:ext>
          </c:extLst>
        </c:ser>
        <c:ser>
          <c:idx val="3"/>
          <c:order val="3"/>
          <c:tx>
            <c:strRef>
              <c:f>'Análise BASA'!$F$3</c:f>
              <c:strCache>
                <c:ptCount val="1"/>
                <c:pt idx="0">
                  <c:v>roeabraj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'Análise BASA'!$B$4:$B$19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BASA'!$F$4:$F$19</c:f>
              <c:numCache>
                <c:formatCode>0.00%</c:formatCode>
                <c:ptCount val="16"/>
                <c:pt idx="0">
                  <c:v>0.1396646397882832</c:v>
                </c:pt>
                <c:pt idx="1">
                  <c:v>0.22120616227309067</c:v>
                </c:pt>
                <c:pt idx="2">
                  <c:v>7.9202724798270993E-2</c:v>
                </c:pt>
                <c:pt idx="3">
                  <c:v>0.16262464614603589</c:v>
                </c:pt>
                <c:pt idx="4">
                  <c:v>0.10038550232371408</c:v>
                </c:pt>
                <c:pt idx="5">
                  <c:v>0.1027956204671738</c:v>
                </c:pt>
                <c:pt idx="6">
                  <c:v>0.11718212414790517</c:v>
                </c:pt>
                <c:pt idx="7">
                  <c:v>1.3904768198790603E-2</c:v>
                </c:pt>
                <c:pt idx="8">
                  <c:v>7.4218531792541231E-2</c:v>
                </c:pt>
                <c:pt idx="9">
                  <c:v>4.2855070818834447E-2</c:v>
                </c:pt>
                <c:pt idx="10">
                  <c:v>6.5940821187900789E-2</c:v>
                </c:pt>
                <c:pt idx="11">
                  <c:v>-0.16950751644004725</c:v>
                </c:pt>
                <c:pt idx="12">
                  <c:v>6.0310701735801338E-2</c:v>
                </c:pt>
                <c:pt idx="13">
                  <c:v>0.13742174633859261</c:v>
                </c:pt>
                <c:pt idx="14">
                  <c:v>7.6688653074774432E-2</c:v>
                </c:pt>
                <c:pt idx="15">
                  <c:v>1.8044341781244345E-2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31-4BAD-AF2D-63A387FAFAD9}"/>
            </c:ext>
          </c:extLst>
        </c:ser>
        <c:ser>
          <c:idx val="4"/>
          <c:order val="4"/>
          <c:tx>
            <c:strRef>
              <c:f>'Análise BASA'!$G$3</c:f>
              <c:strCache>
                <c:ptCount val="1"/>
                <c:pt idx="0">
                  <c:v>SELIC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'Análise BASA'!$B$4:$B$19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cat>
          <c:val>
            <c:numRef>
              <c:f>'Análise BASA'!$G$4:$G$19</c:f>
              <c:numCache>
                <c:formatCode>0.00%</c:formatCode>
                <c:ptCount val="16"/>
                <c:pt idx="0">
                  <c:v>0.19210000000000002</c:v>
                </c:pt>
                <c:pt idx="1">
                  <c:v>0.23469999999999999</c:v>
                </c:pt>
                <c:pt idx="2">
                  <c:v>0.1638</c:v>
                </c:pt>
                <c:pt idx="3">
                  <c:v>0.1913</c:v>
                </c:pt>
                <c:pt idx="4">
                  <c:v>0.14910000000000001</c:v>
                </c:pt>
                <c:pt idx="5">
                  <c:v>0.12039999999999999</c:v>
                </c:pt>
                <c:pt idx="6">
                  <c:v>0.1245</c:v>
                </c:pt>
                <c:pt idx="7">
                  <c:v>0.1013</c:v>
                </c:pt>
                <c:pt idx="8">
                  <c:v>9.9000000000000005E-2</c:v>
                </c:pt>
                <c:pt idx="9">
                  <c:v>0.1176</c:v>
                </c:pt>
                <c:pt idx="10">
                  <c:v>8.6199999999999999E-2</c:v>
                </c:pt>
                <c:pt idx="11">
                  <c:v>8.2899999999999988E-2</c:v>
                </c:pt>
                <c:pt idx="12">
                  <c:v>0.1096</c:v>
                </c:pt>
                <c:pt idx="13">
                  <c:v>0.13470000000000001</c:v>
                </c:pt>
                <c:pt idx="14">
                  <c:v>0.14180000000000001</c:v>
                </c:pt>
                <c:pt idx="15">
                  <c:v>0.1011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31-4BAD-AF2D-63A387FA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292288"/>
        <c:axId val="1000007760"/>
      </c:lineChart>
      <c:catAx>
        <c:axId val="100129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0007760"/>
        <c:crosses val="autoZero"/>
        <c:auto val="1"/>
        <c:lblAlgn val="ctr"/>
        <c:lblOffset val="100"/>
        <c:noMultiLvlLbl val="0"/>
      </c:catAx>
      <c:valAx>
        <c:axId val="100000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129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Selic.IPCA!$D$3:$D$4</c:f>
              <c:strCache>
                <c:ptCount val="2"/>
                <c:pt idx="0">
                  <c:v>Selic</c:v>
                </c:pt>
                <c:pt idx="1">
                  <c:v>Taxa Anual Acumulada no Ano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Selic.IPCA!$C$5:$C$21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Selic.IPCA!$D$5:$D$21</c:f>
              <c:numCache>
                <c:formatCode>0.00%</c:formatCode>
                <c:ptCount val="17"/>
                <c:pt idx="0">
                  <c:v>0.19210000000000002</c:v>
                </c:pt>
                <c:pt idx="1">
                  <c:v>0.23469999999999999</c:v>
                </c:pt>
                <c:pt idx="2">
                  <c:v>0.1638</c:v>
                </c:pt>
                <c:pt idx="3">
                  <c:v>0.1913</c:v>
                </c:pt>
                <c:pt idx="4">
                  <c:v>0.14910000000000001</c:v>
                </c:pt>
                <c:pt idx="5">
                  <c:v>0.12039999999999999</c:v>
                </c:pt>
                <c:pt idx="6">
                  <c:v>0.1245</c:v>
                </c:pt>
                <c:pt idx="7">
                  <c:v>0.1013</c:v>
                </c:pt>
                <c:pt idx="8">
                  <c:v>9.9000000000000005E-2</c:v>
                </c:pt>
                <c:pt idx="9">
                  <c:v>0.1176</c:v>
                </c:pt>
                <c:pt idx="10">
                  <c:v>8.6199999999999999E-2</c:v>
                </c:pt>
                <c:pt idx="11">
                  <c:v>8.2899999999999988E-2</c:v>
                </c:pt>
                <c:pt idx="12">
                  <c:v>0.1096</c:v>
                </c:pt>
                <c:pt idx="13">
                  <c:v>0.13470000000000001</c:v>
                </c:pt>
                <c:pt idx="14">
                  <c:v>0.14180000000000001</c:v>
                </c:pt>
                <c:pt idx="15">
                  <c:v>0.1011</c:v>
                </c:pt>
                <c:pt idx="16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C-4A9B-8100-0B281B4E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155104"/>
        <c:axId val="1072446992"/>
      </c:lineChart>
      <c:catAx>
        <c:axId val="47015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2446992"/>
        <c:crosses val="autoZero"/>
        <c:auto val="1"/>
        <c:lblAlgn val="ctr"/>
        <c:lblOffset val="100"/>
        <c:noMultiLvlLbl val="0"/>
      </c:catAx>
      <c:valAx>
        <c:axId val="107244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015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109</xdr:row>
      <xdr:rowOff>158750</xdr:rowOff>
    </xdr:from>
    <xdr:to>
      <xdr:col>17</xdr:col>
      <xdr:colOff>682625</xdr:colOff>
      <xdr:row>126</xdr:row>
      <xdr:rowOff>27213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33337</xdr:rowOff>
    </xdr:from>
    <xdr:to>
      <xdr:col>19</xdr:col>
      <xdr:colOff>428625</xdr:colOff>
      <xdr:row>20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885A5A-E5EB-4416-B2D7-9EAFDAF0B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3</xdr:row>
      <xdr:rowOff>138111</xdr:rowOff>
    </xdr:from>
    <xdr:to>
      <xdr:col>19</xdr:col>
      <xdr:colOff>523875</xdr:colOff>
      <xdr:row>19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75988C-B306-4107-B5A6-47C3CD5AE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1</xdr:row>
      <xdr:rowOff>128587</xdr:rowOff>
    </xdr:from>
    <xdr:to>
      <xdr:col>11</xdr:col>
      <xdr:colOff>517072</xdr:colOff>
      <xdr:row>13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174AC0-8963-4941-849C-1E66BEAD7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C1:C53"/>
  <sheetViews>
    <sheetView workbookViewId="0">
      <selection activeCell="E3" sqref="E3"/>
    </sheetView>
  </sheetViews>
  <sheetFormatPr defaultRowHeight="14.4" x14ac:dyDescent="0.3"/>
  <cols>
    <col min="3" max="3" width="19" bestFit="1" customWidth="1"/>
  </cols>
  <sheetData>
    <row r="1" spans="3:3" ht="15" thickBot="1" x14ac:dyDescent="0.35"/>
    <row r="2" spans="3:3" ht="29.4" thickBot="1" x14ac:dyDescent="0.35">
      <c r="C2" s="139" t="s">
        <v>16</v>
      </c>
    </row>
    <row r="3" spans="3:3" x14ac:dyDescent="0.3">
      <c r="C3" s="140" t="s">
        <v>24</v>
      </c>
    </row>
    <row r="4" spans="3:3" x14ac:dyDescent="0.3">
      <c r="C4" s="141">
        <v>5921072</v>
      </c>
    </row>
    <row r="5" spans="3:3" x14ac:dyDescent="0.3">
      <c r="C5" s="141">
        <v>7458297</v>
      </c>
    </row>
    <row r="6" spans="3:3" x14ac:dyDescent="0.3">
      <c r="C6" s="141">
        <v>10611353</v>
      </c>
    </row>
    <row r="7" spans="3:3" x14ac:dyDescent="0.3">
      <c r="C7" s="141">
        <v>13370418</v>
      </c>
    </row>
    <row r="8" spans="3:3" x14ac:dyDescent="0.3">
      <c r="C8" s="142">
        <v>14334643</v>
      </c>
    </row>
    <row r="9" spans="3:3" x14ac:dyDescent="0.3">
      <c r="C9" s="141">
        <v>17487227</v>
      </c>
    </row>
    <row r="10" spans="3:3" x14ac:dyDescent="0.3">
      <c r="C10" s="141">
        <v>22436424</v>
      </c>
    </row>
    <row r="11" spans="3:3" x14ac:dyDescent="0.3">
      <c r="C11" s="141">
        <v>31390168</v>
      </c>
    </row>
    <row r="12" spans="3:3" x14ac:dyDescent="0.3">
      <c r="C12" s="141">
        <v>50764025</v>
      </c>
    </row>
    <row r="13" spans="3:3" x14ac:dyDescent="0.3">
      <c r="C13" s="141">
        <v>50991004</v>
      </c>
    </row>
    <row r="14" spans="3:3" x14ac:dyDescent="0.3">
      <c r="C14" s="141">
        <v>63518626</v>
      </c>
    </row>
    <row r="15" spans="3:3" x14ac:dyDescent="0.3">
      <c r="C15" s="141">
        <v>87104883</v>
      </c>
    </row>
    <row r="16" spans="3:3" x14ac:dyDescent="0.3">
      <c r="C16" s="141">
        <v>91050021</v>
      </c>
    </row>
    <row r="17" spans="3:3" x14ac:dyDescent="0.3">
      <c r="C17" s="141">
        <v>90065408</v>
      </c>
    </row>
    <row r="18" spans="3:3" x14ac:dyDescent="0.3">
      <c r="C18" s="141">
        <v>83082693</v>
      </c>
    </row>
    <row r="19" spans="3:3" ht="15" thickBot="1" x14ac:dyDescent="0.35">
      <c r="C19" s="143">
        <v>80884739</v>
      </c>
    </row>
    <row r="20" spans="3:3" x14ac:dyDescent="0.3">
      <c r="C20" s="144">
        <v>3340319</v>
      </c>
    </row>
    <row r="21" spans="3:3" x14ac:dyDescent="0.3">
      <c r="C21" s="145">
        <v>5818298</v>
      </c>
    </row>
    <row r="22" spans="3:3" x14ac:dyDescent="0.3">
      <c r="C22" s="145">
        <v>8615198</v>
      </c>
    </row>
    <row r="23" spans="3:3" x14ac:dyDescent="0.3">
      <c r="C23" s="145">
        <v>11426453</v>
      </c>
    </row>
    <row r="24" spans="3:3" x14ac:dyDescent="0.3">
      <c r="C24" s="145">
        <v>12399241</v>
      </c>
    </row>
    <row r="25" spans="3:3" x14ac:dyDescent="0.3">
      <c r="C25" s="145">
        <v>17046780</v>
      </c>
    </row>
    <row r="26" spans="3:3" x14ac:dyDescent="0.3">
      <c r="C26" s="145">
        <v>20665149</v>
      </c>
    </row>
    <row r="27" spans="3:3" x14ac:dyDescent="0.3">
      <c r="C27" s="145">
        <v>29120526</v>
      </c>
    </row>
    <row r="28" spans="3:3" x14ac:dyDescent="0.3">
      <c r="C28" s="145">
        <v>41109980</v>
      </c>
    </row>
    <row r="29" spans="3:3" x14ac:dyDescent="0.3">
      <c r="C29" s="145">
        <v>54172591</v>
      </c>
    </row>
    <row r="30" spans="3:3" x14ac:dyDescent="0.3">
      <c r="C30" s="145">
        <v>80599183</v>
      </c>
    </row>
    <row r="31" spans="3:3" x14ac:dyDescent="0.3">
      <c r="C31" s="146">
        <v>123737439</v>
      </c>
    </row>
    <row r="32" spans="3:3" x14ac:dyDescent="0.3">
      <c r="C32" s="145">
        <v>158322179</v>
      </c>
    </row>
    <row r="33" spans="3:3" x14ac:dyDescent="0.3">
      <c r="C33" s="145">
        <v>177431598</v>
      </c>
    </row>
    <row r="34" spans="3:3" x14ac:dyDescent="0.3">
      <c r="C34" s="145">
        <v>207682167</v>
      </c>
    </row>
    <row r="35" spans="3:3" x14ac:dyDescent="0.3">
      <c r="C35" s="145">
        <v>238966421</v>
      </c>
    </row>
    <row r="36" spans="3:3" ht="15" thickBot="1" x14ac:dyDescent="0.35">
      <c r="C36" s="147">
        <v>269553942</v>
      </c>
    </row>
    <row r="37" spans="3:3" x14ac:dyDescent="0.3">
      <c r="C37" s="148" t="s">
        <v>24</v>
      </c>
    </row>
    <row r="38" spans="3:3" x14ac:dyDescent="0.3">
      <c r="C38" s="149">
        <v>15337514</v>
      </c>
    </row>
    <row r="39" spans="3:3" x14ac:dyDescent="0.3">
      <c r="C39" s="149">
        <v>18059336</v>
      </c>
    </row>
    <row r="40" spans="3:3" x14ac:dyDescent="0.3">
      <c r="C40" s="149">
        <v>20577084</v>
      </c>
    </row>
    <row r="41" spans="3:3" x14ac:dyDescent="0.3">
      <c r="C41" s="149">
        <v>19622038</v>
      </c>
    </row>
    <row r="42" spans="3:3" x14ac:dyDescent="0.3">
      <c r="C42" s="149">
        <v>9622331</v>
      </c>
    </row>
    <row r="43" spans="3:3" x14ac:dyDescent="0.3">
      <c r="C43" s="149">
        <v>8235190</v>
      </c>
    </row>
    <row r="44" spans="3:3" x14ac:dyDescent="0.3">
      <c r="C44" s="149">
        <v>37182784</v>
      </c>
    </row>
    <row r="45" spans="3:3" x14ac:dyDescent="0.3">
      <c r="C45" s="149">
        <v>131824447</v>
      </c>
    </row>
    <row r="46" spans="3:3" x14ac:dyDescent="0.3">
      <c r="C46" s="149">
        <v>239823527</v>
      </c>
    </row>
    <row r="47" spans="3:3" x14ac:dyDescent="0.3">
      <c r="C47" s="149">
        <v>296998647</v>
      </c>
    </row>
    <row r="48" spans="3:3" x14ac:dyDescent="0.3">
      <c r="C48" s="149">
        <v>358795809</v>
      </c>
    </row>
    <row r="49" spans="3:3" x14ac:dyDescent="0.3">
      <c r="C49" s="149">
        <v>395774811</v>
      </c>
    </row>
    <row r="50" spans="3:3" x14ac:dyDescent="0.3">
      <c r="C50" s="149">
        <v>468422359</v>
      </c>
    </row>
    <row r="51" spans="3:3" x14ac:dyDescent="0.3">
      <c r="C51" s="149">
        <v>487124393</v>
      </c>
    </row>
    <row r="52" spans="3:3" x14ac:dyDescent="0.3">
      <c r="C52" s="150">
        <v>403512726</v>
      </c>
    </row>
    <row r="53" spans="3:3" ht="15" thickBot="1" x14ac:dyDescent="0.35">
      <c r="C53" s="151">
        <v>379877246</v>
      </c>
    </row>
  </sheetData>
  <conditionalFormatting sqref="C3:C53">
    <cfRule type="cellIs" dxfId="16" priority="1" operator="between">
      <formula>0</formula>
      <formula>-10000000000</formula>
    </cfRule>
  </conditionalFormatting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>
    <tabColor rgb="FF8497B0"/>
  </sheetPr>
  <dimension ref="B2:S230"/>
  <sheetViews>
    <sheetView zoomScale="60" zoomScaleNormal="60" workbookViewId="0">
      <selection activeCell="D22" sqref="D22"/>
    </sheetView>
  </sheetViews>
  <sheetFormatPr defaultRowHeight="14.4" x14ac:dyDescent="0.3"/>
  <cols>
    <col min="2" max="2" width="0" hidden="1" customWidth="1"/>
    <col min="3" max="3" width="8.88671875" style="2" customWidth="1"/>
    <col min="4" max="4" width="21.6640625" customWidth="1"/>
    <col min="5" max="5" width="28.109375" bestFit="1" customWidth="1"/>
    <col min="6" max="6" width="11.109375" style="4" bestFit="1" customWidth="1"/>
    <col min="7" max="7" width="22.44140625" bestFit="1" customWidth="1"/>
    <col min="8" max="8" width="10.5546875" bestFit="1" customWidth="1"/>
    <col min="10" max="10" width="10" bestFit="1" customWidth="1"/>
  </cols>
  <sheetData>
    <row r="2" spans="2:19" ht="15" customHeight="1" thickBot="1" x14ac:dyDescent="0.35">
      <c r="C2" s="287"/>
    </row>
    <row r="3" spans="2:19" ht="15" customHeight="1" thickBot="1" x14ac:dyDescent="0.35">
      <c r="C3" s="352" t="s">
        <v>22</v>
      </c>
      <c r="D3" s="353"/>
      <c r="E3" s="94"/>
      <c r="G3" s="94"/>
      <c r="H3" s="94"/>
      <c r="I3" s="94"/>
      <c r="J3" s="94"/>
      <c r="K3" s="94"/>
      <c r="L3" s="94"/>
      <c r="M3" t="s">
        <v>128</v>
      </c>
    </row>
    <row r="4" spans="2:19" ht="25.5" customHeight="1" thickBot="1" x14ac:dyDescent="0.35">
      <c r="C4" s="121" t="s">
        <v>1</v>
      </c>
      <c r="D4" s="122" t="s">
        <v>129</v>
      </c>
      <c r="E4" s="4"/>
      <c r="F4" s="94"/>
      <c r="G4" s="94"/>
      <c r="H4" s="94"/>
      <c r="I4" s="94"/>
      <c r="J4" s="94"/>
      <c r="K4" s="94"/>
      <c r="L4" s="94"/>
      <c r="M4" s="354" t="s">
        <v>130</v>
      </c>
      <c r="N4" s="355"/>
      <c r="O4" s="355"/>
      <c r="P4" s="355"/>
      <c r="Q4" s="355"/>
      <c r="R4" s="355"/>
      <c r="S4" s="356"/>
    </row>
    <row r="5" spans="2:19" ht="19.5" customHeight="1" x14ac:dyDescent="0.3">
      <c r="B5" s="113">
        <v>37591</v>
      </c>
      <c r="C5" s="117">
        <v>2002</v>
      </c>
      <c r="D5" s="118">
        <f t="shared" ref="D5:D20" si="0">(VLOOKUP(B5,Selic,4,FALSE))/100</f>
        <v>0.19210000000000002</v>
      </c>
      <c r="E5" s="112"/>
      <c r="M5" s="114"/>
      <c r="N5" s="354" t="s">
        <v>131</v>
      </c>
      <c r="O5" s="355"/>
      <c r="P5" s="355"/>
      <c r="Q5" s="355"/>
      <c r="R5" s="355"/>
      <c r="S5" s="356"/>
    </row>
    <row r="6" spans="2:19" ht="26.25" customHeight="1" x14ac:dyDescent="0.3">
      <c r="B6" s="113">
        <v>37956</v>
      </c>
      <c r="C6" s="117">
        <v>2003</v>
      </c>
      <c r="D6" s="118">
        <f t="shared" si="0"/>
        <v>0.23469999999999999</v>
      </c>
      <c r="E6" s="112"/>
      <c r="M6" s="347" t="s">
        <v>132</v>
      </c>
      <c r="N6" s="285" t="s">
        <v>133</v>
      </c>
      <c r="O6" s="285" t="s">
        <v>134</v>
      </c>
      <c r="P6" s="347" t="s">
        <v>135</v>
      </c>
      <c r="Q6" s="347" t="s">
        <v>136</v>
      </c>
      <c r="R6" s="285" t="s">
        <v>134</v>
      </c>
      <c r="S6" s="285" t="s">
        <v>137</v>
      </c>
    </row>
    <row r="7" spans="2:19" ht="26.4" x14ac:dyDescent="0.3">
      <c r="B7" s="113">
        <v>38322</v>
      </c>
      <c r="C7" s="117">
        <v>2004</v>
      </c>
      <c r="D7" s="118">
        <f t="shared" si="0"/>
        <v>0.1638</v>
      </c>
      <c r="E7" s="112"/>
      <c r="M7" s="357"/>
      <c r="N7" s="286" t="s">
        <v>138</v>
      </c>
      <c r="O7" s="286" t="s">
        <v>3</v>
      </c>
      <c r="P7" s="348"/>
      <c r="Q7" s="348"/>
      <c r="R7" s="286" t="s">
        <v>139</v>
      </c>
      <c r="S7" s="286" t="s">
        <v>139</v>
      </c>
    </row>
    <row r="8" spans="2:19" ht="19.5" customHeight="1" x14ac:dyDescent="0.3">
      <c r="B8" s="113">
        <v>38687</v>
      </c>
      <c r="C8" s="117">
        <v>2005</v>
      </c>
      <c r="D8" s="118">
        <f t="shared" si="0"/>
        <v>0.1913</v>
      </c>
      <c r="E8" s="112"/>
      <c r="M8" s="348"/>
      <c r="N8" s="349" t="s">
        <v>140</v>
      </c>
      <c r="O8" s="350"/>
      <c r="P8" s="350"/>
      <c r="Q8" s="351"/>
      <c r="R8" s="349" t="s">
        <v>141</v>
      </c>
      <c r="S8" s="351"/>
    </row>
    <row r="9" spans="2:19" x14ac:dyDescent="0.3">
      <c r="B9" s="113">
        <v>39052</v>
      </c>
      <c r="C9" s="117">
        <v>2006</v>
      </c>
      <c r="D9" s="118">
        <f t="shared" si="0"/>
        <v>0.14910000000000001</v>
      </c>
      <c r="E9" s="112"/>
      <c r="M9" s="115">
        <v>37257</v>
      </c>
      <c r="N9" s="116">
        <v>1.4883999999999999</v>
      </c>
      <c r="O9" s="116">
        <v>19</v>
      </c>
      <c r="P9" s="116">
        <v>1.49</v>
      </c>
      <c r="Q9" s="116">
        <v>17.739999999999998</v>
      </c>
      <c r="R9" s="116">
        <v>19.05</v>
      </c>
      <c r="S9" s="116">
        <v>1.0006922</v>
      </c>
    </row>
    <row r="10" spans="2:19" x14ac:dyDescent="0.3">
      <c r="B10" s="113">
        <v>39417</v>
      </c>
      <c r="C10" s="117">
        <v>2007</v>
      </c>
      <c r="D10" s="118">
        <f t="shared" si="0"/>
        <v>0.12039999999999999</v>
      </c>
      <c r="E10" s="112"/>
      <c r="M10" s="115">
        <v>37288</v>
      </c>
      <c r="N10" s="116">
        <v>1.3387</v>
      </c>
      <c r="O10" s="116">
        <v>18.93</v>
      </c>
      <c r="P10" s="116">
        <v>2.85</v>
      </c>
      <c r="Q10" s="116">
        <v>18.03</v>
      </c>
      <c r="R10" s="116">
        <v>19.05</v>
      </c>
      <c r="S10" s="116">
        <v>1.0006922</v>
      </c>
    </row>
    <row r="11" spans="2:19" x14ac:dyDescent="0.3">
      <c r="B11" s="113">
        <v>39783</v>
      </c>
      <c r="C11" s="117">
        <v>2008</v>
      </c>
      <c r="D11" s="118">
        <f t="shared" si="0"/>
        <v>0.1245</v>
      </c>
      <c r="E11" s="112"/>
      <c r="M11" s="115">
        <v>37316</v>
      </c>
      <c r="N11" s="116">
        <v>1.4638</v>
      </c>
      <c r="O11" s="116">
        <v>18.66</v>
      </c>
      <c r="P11" s="116">
        <v>4.3499999999999996</v>
      </c>
      <c r="Q11" s="116">
        <v>18.309999999999999</v>
      </c>
      <c r="R11" s="116">
        <v>18.8</v>
      </c>
      <c r="S11" s="116">
        <v>1.0006838499999999</v>
      </c>
    </row>
    <row r="12" spans="2:19" x14ac:dyDescent="0.3">
      <c r="B12" s="113">
        <v>40148</v>
      </c>
      <c r="C12" s="117">
        <v>2009</v>
      </c>
      <c r="D12" s="118">
        <f t="shared" si="0"/>
        <v>0.1013</v>
      </c>
      <c r="E12" s="112"/>
      <c r="M12" s="115">
        <v>37347</v>
      </c>
      <c r="N12" s="116">
        <v>1.4049</v>
      </c>
      <c r="O12" s="116">
        <v>18.5</v>
      </c>
      <c r="P12" s="116">
        <v>5.82</v>
      </c>
      <c r="Q12" s="116">
        <v>18.52</v>
      </c>
      <c r="R12" s="116">
        <v>18.47</v>
      </c>
      <c r="S12" s="116">
        <v>1.0006728</v>
      </c>
    </row>
    <row r="13" spans="2:19" x14ac:dyDescent="0.3">
      <c r="B13" s="113">
        <v>40513</v>
      </c>
      <c r="C13" s="117">
        <v>2010</v>
      </c>
      <c r="D13" s="118">
        <f t="shared" si="0"/>
        <v>9.9000000000000005E-2</v>
      </c>
      <c r="E13" s="112"/>
      <c r="M13" s="115">
        <v>37377</v>
      </c>
      <c r="N13" s="116">
        <v>1.4520999999999999</v>
      </c>
      <c r="O13" s="116">
        <v>18.5</v>
      </c>
      <c r="P13" s="116">
        <v>7.36</v>
      </c>
      <c r="Q13" s="116">
        <v>18.7</v>
      </c>
      <c r="R13" s="116">
        <v>18.37</v>
      </c>
      <c r="S13" s="116">
        <v>1.00066945</v>
      </c>
    </row>
    <row r="14" spans="2:19" x14ac:dyDescent="0.3">
      <c r="B14" s="113">
        <v>40878</v>
      </c>
      <c r="C14" s="117">
        <v>2011</v>
      </c>
      <c r="D14" s="118">
        <f t="shared" si="0"/>
        <v>0.1176</v>
      </c>
      <c r="E14" s="112"/>
      <c r="M14" s="115">
        <v>37408</v>
      </c>
      <c r="N14" s="116">
        <v>1.4049</v>
      </c>
      <c r="O14" s="116">
        <v>18.5</v>
      </c>
      <c r="P14" s="116">
        <v>8.86</v>
      </c>
      <c r="Q14" s="116">
        <v>18.8</v>
      </c>
      <c r="R14" s="116">
        <v>17.309999999999999</v>
      </c>
      <c r="S14" s="116">
        <v>1.0006337300000001</v>
      </c>
    </row>
    <row r="15" spans="2:19" x14ac:dyDescent="0.3">
      <c r="B15" s="113">
        <v>41244</v>
      </c>
      <c r="C15" s="117">
        <v>2012</v>
      </c>
      <c r="D15" s="118">
        <f t="shared" si="0"/>
        <v>8.6199999999999999E-2</v>
      </c>
      <c r="E15" s="112"/>
      <c r="M15" s="115">
        <v>37438</v>
      </c>
      <c r="N15" s="116">
        <v>1.4356</v>
      </c>
      <c r="O15" s="116">
        <v>18.27</v>
      </c>
      <c r="P15" s="116">
        <v>10.43</v>
      </c>
      <c r="Q15" s="116">
        <v>18.78</v>
      </c>
      <c r="R15" s="116">
        <v>18.41</v>
      </c>
      <c r="S15" s="116">
        <v>1.00067079</v>
      </c>
    </row>
    <row r="16" spans="2:19" x14ac:dyDescent="0.3">
      <c r="B16" s="113">
        <v>41609</v>
      </c>
      <c r="C16" s="117">
        <v>2013</v>
      </c>
      <c r="D16" s="118">
        <f t="shared" si="0"/>
        <v>8.2899999999999988E-2</v>
      </c>
      <c r="E16" s="112"/>
      <c r="F16" s="4" t="s">
        <v>142</v>
      </c>
      <c r="M16" s="115">
        <v>37469</v>
      </c>
      <c r="N16" s="116">
        <v>1.4157</v>
      </c>
      <c r="O16" s="116">
        <v>18</v>
      </c>
      <c r="P16" s="116">
        <v>11.99</v>
      </c>
      <c r="Q16" s="116">
        <v>18.690000000000001</v>
      </c>
      <c r="R16" s="116">
        <v>17.829999999999998</v>
      </c>
      <c r="S16" s="116">
        <v>1.00065129</v>
      </c>
    </row>
    <row r="17" spans="2:19" x14ac:dyDescent="0.3">
      <c r="B17" s="113">
        <v>41974</v>
      </c>
      <c r="C17" s="117">
        <v>2014</v>
      </c>
      <c r="D17" s="118">
        <f t="shared" si="0"/>
        <v>0.1096</v>
      </c>
      <c r="E17" s="112"/>
      <c r="M17" s="115">
        <v>37500</v>
      </c>
      <c r="N17" s="116">
        <v>1.3696999999999999</v>
      </c>
      <c r="O17" s="116">
        <v>18</v>
      </c>
      <c r="P17" s="116">
        <v>13.52</v>
      </c>
      <c r="Q17" s="116">
        <v>18.61</v>
      </c>
      <c r="R17" s="116">
        <v>17.87</v>
      </c>
      <c r="S17" s="116">
        <v>1.00065264</v>
      </c>
    </row>
    <row r="18" spans="2:19" x14ac:dyDescent="0.3">
      <c r="B18" s="113">
        <v>42339</v>
      </c>
      <c r="C18" s="117">
        <v>2015</v>
      </c>
      <c r="D18" s="118">
        <f t="shared" si="0"/>
        <v>0.13470000000000001</v>
      </c>
      <c r="E18" s="112"/>
      <c r="M18" s="115">
        <v>37530</v>
      </c>
      <c r="N18" s="116">
        <v>1.5343</v>
      </c>
      <c r="O18" s="116">
        <v>19.64</v>
      </c>
      <c r="P18" s="116">
        <v>15.27</v>
      </c>
      <c r="Q18" s="116">
        <v>18.670000000000002</v>
      </c>
      <c r="R18" s="116">
        <v>17.899999999999999</v>
      </c>
      <c r="S18" s="116">
        <v>1.0006536500000001</v>
      </c>
    </row>
    <row r="19" spans="2:19" x14ac:dyDescent="0.3">
      <c r="B19" s="113">
        <v>42705</v>
      </c>
      <c r="C19" s="117">
        <v>2016</v>
      </c>
      <c r="D19" s="118">
        <f t="shared" si="0"/>
        <v>0.14180000000000001</v>
      </c>
      <c r="E19" s="112"/>
      <c r="M19" s="123" t="s">
        <v>143</v>
      </c>
      <c r="N19" s="116" t="s">
        <v>144</v>
      </c>
      <c r="O19" s="116">
        <v>21.33</v>
      </c>
      <c r="P19" s="116">
        <v>17.11</v>
      </c>
      <c r="Q19" s="116">
        <v>18.850000000000001</v>
      </c>
      <c r="R19" s="116">
        <v>20.9</v>
      </c>
      <c r="S19" s="116">
        <v>1.0007534300000001</v>
      </c>
    </row>
    <row r="20" spans="2:19" ht="15" thickBot="1" x14ac:dyDescent="0.35">
      <c r="B20" s="113">
        <v>43070</v>
      </c>
      <c r="C20" s="119">
        <v>2017</v>
      </c>
      <c r="D20" s="120">
        <f t="shared" si="0"/>
        <v>0.1011</v>
      </c>
      <c r="E20" s="112"/>
      <c r="J20" s="111"/>
      <c r="K20" s="111"/>
      <c r="M20" s="115">
        <v>37591</v>
      </c>
      <c r="N20" s="116">
        <v>1.7911999999999999</v>
      </c>
      <c r="O20" s="116">
        <v>23.25</v>
      </c>
      <c r="P20" s="116">
        <v>19.21</v>
      </c>
      <c r="Q20" s="116">
        <v>19.21</v>
      </c>
      <c r="R20" s="116">
        <v>21.9</v>
      </c>
      <c r="S20" s="116">
        <v>1.0007861499999999</v>
      </c>
    </row>
    <row r="21" spans="2:19" ht="15" thickBot="1" x14ac:dyDescent="0.35">
      <c r="C21" s="119">
        <v>2018</v>
      </c>
      <c r="D21" s="120">
        <v>6.4000000000000001E-2</v>
      </c>
      <c r="J21" s="111"/>
      <c r="K21" s="111"/>
      <c r="M21" s="115">
        <v>37622</v>
      </c>
      <c r="N21" s="116">
        <v>1.9233</v>
      </c>
      <c r="O21" s="116">
        <v>25.14</v>
      </c>
      <c r="P21" s="116">
        <v>1.92</v>
      </c>
      <c r="Q21" s="116">
        <v>19.72</v>
      </c>
      <c r="R21" s="116">
        <v>24.9</v>
      </c>
      <c r="S21" s="116">
        <v>1.0008827</v>
      </c>
    </row>
    <row r="22" spans="2:19" x14ac:dyDescent="0.3">
      <c r="C22" s="287"/>
      <c r="D22" s="110"/>
      <c r="J22" s="111"/>
      <c r="K22" s="111"/>
      <c r="M22" s="115">
        <v>37653</v>
      </c>
      <c r="N22" s="116">
        <v>1.7776000000000001</v>
      </c>
      <c r="O22" s="116">
        <v>25.82</v>
      </c>
      <c r="P22" s="116">
        <v>3.74</v>
      </c>
      <c r="Q22" s="116">
        <v>20.239999999999998</v>
      </c>
      <c r="R22" s="116">
        <v>25.38</v>
      </c>
      <c r="S22" s="116">
        <v>1.00089794</v>
      </c>
    </row>
    <row r="23" spans="2:19" x14ac:dyDescent="0.3">
      <c r="C23" s="287"/>
      <c r="D23" s="110"/>
      <c r="J23" s="111"/>
      <c r="K23" s="111"/>
      <c r="M23" s="115">
        <v>37681</v>
      </c>
      <c r="N23" s="116">
        <v>2.0165999999999999</v>
      </c>
      <c r="O23" s="116">
        <v>26.5</v>
      </c>
      <c r="P23" s="116">
        <v>5.83</v>
      </c>
      <c r="Q23" s="116">
        <v>20.89</v>
      </c>
      <c r="R23" s="116">
        <v>26.29</v>
      </c>
      <c r="S23" s="116">
        <v>1.00092666</v>
      </c>
    </row>
    <row r="24" spans="2:19" x14ac:dyDescent="0.3">
      <c r="C24" s="287"/>
      <c r="D24" s="110"/>
      <c r="J24" s="111"/>
      <c r="K24" s="111"/>
      <c r="M24" s="115">
        <v>37712</v>
      </c>
      <c r="N24" s="116">
        <v>1.9509000000000001</v>
      </c>
      <c r="O24" s="116">
        <v>26.5</v>
      </c>
      <c r="P24" s="116">
        <v>7.89</v>
      </c>
      <c r="Q24" s="116">
        <v>21.54</v>
      </c>
      <c r="R24" s="116">
        <v>26.32</v>
      </c>
      <c r="S24" s="116">
        <v>1.00092761</v>
      </c>
    </row>
    <row r="25" spans="2:19" x14ac:dyDescent="0.3">
      <c r="C25" s="287"/>
      <c r="D25" s="110"/>
      <c r="J25" s="111"/>
      <c r="K25" s="111"/>
      <c r="M25" s="115">
        <v>37742</v>
      </c>
      <c r="N25" s="116">
        <v>2.0165999999999999</v>
      </c>
      <c r="O25" s="116">
        <v>26.5</v>
      </c>
      <c r="P25" s="116">
        <v>10.07</v>
      </c>
      <c r="Q25" s="116">
        <v>22.22</v>
      </c>
      <c r="R25" s="116">
        <v>26.32</v>
      </c>
      <c r="S25" s="116">
        <v>1.00092761</v>
      </c>
    </row>
    <row r="26" spans="2:19" x14ac:dyDescent="0.3">
      <c r="C26" s="287"/>
      <c r="D26" s="110"/>
      <c r="J26" s="111"/>
      <c r="K26" s="111"/>
      <c r="M26" s="115">
        <v>37773</v>
      </c>
      <c r="N26" s="116">
        <v>1.9376</v>
      </c>
      <c r="O26" s="116">
        <v>26.3</v>
      </c>
      <c r="P26" s="116">
        <v>12.2</v>
      </c>
      <c r="Q26" s="116">
        <v>22.86</v>
      </c>
      <c r="R26" s="116">
        <v>26.26</v>
      </c>
      <c r="S26" s="116">
        <v>1.0009257199999999</v>
      </c>
    </row>
    <row r="27" spans="2:19" x14ac:dyDescent="0.3">
      <c r="C27" s="287"/>
      <c r="D27" s="110"/>
      <c r="J27" s="111"/>
      <c r="K27" s="111"/>
      <c r="M27" s="115">
        <v>37803</v>
      </c>
      <c r="N27" s="116">
        <v>1.9555</v>
      </c>
      <c r="O27" s="116">
        <v>25.61</v>
      </c>
      <c r="P27" s="116">
        <v>14.39</v>
      </c>
      <c r="Q27" s="116">
        <v>23.49</v>
      </c>
      <c r="R27" s="116">
        <v>25.76</v>
      </c>
      <c r="S27" s="116">
        <v>1.00090996</v>
      </c>
    </row>
    <row r="28" spans="2:19" x14ac:dyDescent="0.3">
      <c r="C28" s="287"/>
      <c r="D28" s="110"/>
      <c r="J28" s="111"/>
      <c r="K28" s="111"/>
      <c r="M28" s="115">
        <v>37834</v>
      </c>
      <c r="N28" s="116">
        <v>1.8163</v>
      </c>
      <c r="O28" s="116">
        <v>23.61</v>
      </c>
      <c r="P28" s="116">
        <v>16.47</v>
      </c>
      <c r="Q28" s="116">
        <v>23.98</v>
      </c>
      <c r="R28" s="116">
        <v>24.33</v>
      </c>
      <c r="S28" s="116">
        <v>1.00086454</v>
      </c>
    </row>
    <row r="29" spans="2:19" x14ac:dyDescent="0.3">
      <c r="C29" s="287"/>
      <c r="D29" s="110"/>
      <c r="J29" s="111"/>
      <c r="K29" s="111"/>
      <c r="M29" s="115">
        <v>37865</v>
      </c>
      <c r="N29" s="116">
        <v>1.5880000000000001</v>
      </c>
      <c r="O29" s="116">
        <v>21.13</v>
      </c>
      <c r="P29" s="116">
        <v>18.32</v>
      </c>
      <c r="Q29" s="116">
        <v>24.25</v>
      </c>
      <c r="R29" s="116">
        <v>21.83</v>
      </c>
      <c r="S29" s="116">
        <v>1.0007838600000001</v>
      </c>
    </row>
    <row r="30" spans="2:19" x14ac:dyDescent="0.3">
      <c r="C30" s="287"/>
      <c r="D30" s="110"/>
      <c r="J30" s="111"/>
      <c r="K30" s="111"/>
      <c r="M30" s="115">
        <v>37895</v>
      </c>
      <c r="N30" s="116">
        <v>1.5396000000000001</v>
      </c>
      <c r="O30" s="116">
        <v>19.71</v>
      </c>
      <c r="P30" s="116">
        <v>20.14</v>
      </c>
      <c r="Q30" s="116">
        <v>24.25</v>
      </c>
      <c r="R30" s="116">
        <v>19.829999999999998</v>
      </c>
      <c r="S30" s="116">
        <v>1.0007181300000001</v>
      </c>
    </row>
    <row r="31" spans="2:19" x14ac:dyDescent="0.3">
      <c r="C31" s="287"/>
      <c r="D31" s="110"/>
      <c r="J31" s="111"/>
      <c r="K31" s="111"/>
      <c r="M31" s="115">
        <v>37926</v>
      </c>
      <c r="N31" s="116">
        <v>1.4013</v>
      </c>
      <c r="O31" s="116">
        <v>18.45</v>
      </c>
      <c r="P31" s="116">
        <v>21.83</v>
      </c>
      <c r="Q31" s="116">
        <v>24.01</v>
      </c>
      <c r="R31" s="116">
        <v>18.850000000000001</v>
      </c>
      <c r="S31" s="116">
        <v>1.00068552</v>
      </c>
    </row>
    <row r="32" spans="2:19" x14ac:dyDescent="0.3">
      <c r="C32" s="287"/>
      <c r="D32" s="110"/>
      <c r="J32" s="111"/>
      <c r="K32" s="111"/>
      <c r="M32" s="115">
        <v>37956</v>
      </c>
      <c r="N32" s="116">
        <v>1.3459000000000001</v>
      </c>
      <c r="O32" s="116">
        <v>17.05</v>
      </c>
      <c r="P32" s="116">
        <v>23.47</v>
      </c>
      <c r="Q32" s="116">
        <v>23.47</v>
      </c>
      <c r="R32" s="116">
        <v>17.309999999999999</v>
      </c>
      <c r="S32" s="116">
        <v>1.0006337300000001</v>
      </c>
    </row>
    <row r="33" spans="4:19" x14ac:dyDescent="0.3">
      <c r="D33" s="110"/>
      <c r="J33" s="111"/>
      <c r="K33" s="111"/>
      <c r="M33" s="115">
        <v>37987</v>
      </c>
      <c r="N33" s="116">
        <v>1.3044</v>
      </c>
      <c r="O33" s="116">
        <v>16.53</v>
      </c>
      <c r="P33" s="116">
        <v>1.3</v>
      </c>
      <c r="Q33" s="116">
        <v>22.72</v>
      </c>
      <c r="R33" s="116">
        <v>16.34</v>
      </c>
      <c r="S33" s="116">
        <v>1.00060076</v>
      </c>
    </row>
    <row r="34" spans="4:19" x14ac:dyDescent="0.3">
      <c r="D34" s="110"/>
      <c r="J34" s="111"/>
      <c r="K34" s="111"/>
      <c r="M34" s="115">
        <v>38018</v>
      </c>
      <c r="N34" s="116">
        <v>1.2174</v>
      </c>
      <c r="O34" s="116">
        <v>15.36</v>
      </c>
      <c r="P34" s="116">
        <v>2.54</v>
      </c>
      <c r="Q34" s="116">
        <v>22.04</v>
      </c>
      <c r="R34" s="116">
        <v>16.29</v>
      </c>
      <c r="S34" s="116">
        <v>1.0005990600000001</v>
      </c>
    </row>
    <row r="35" spans="4:19" x14ac:dyDescent="0.3">
      <c r="D35" s="110"/>
      <c r="J35" s="111"/>
      <c r="K35" s="111"/>
      <c r="M35" s="115">
        <v>38047</v>
      </c>
      <c r="N35" s="116">
        <v>1.2936000000000001</v>
      </c>
      <c r="O35" s="116">
        <v>16.39</v>
      </c>
      <c r="P35" s="116">
        <v>3.89</v>
      </c>
      <c r="Q35" s="116">
        <v>21.18</v>
      </c>
      <c r="R35" s="116">
        <v>16.29</v>
      </c>
      <c r="S35" s="116">
        <v>1.0005990600000001</v>
      </c>
    </row>
    <row r="36" spans="4:19" x14ac:dyDescent="0.3">
      <c r="D36" s="110"/>
      <c r="J36" s="111"/>
      <c r="K36" s="111"/>
      <c r="M36" s="115">
        <v>38078</v>
      </c>
      <c r="N36" s="116">
        <v>1.2323</v>
      </c>
      <c r="O36" s="116">
        <v>15.56</v>
      </c>
      <c r="P36" s="116">
        <v>5.14</v>
      </c>
      <c r="Q36" s="116">
        <v>20.32</v>
      </c>
      <c r="R36" s="116">
        <v>16.100000000000001</v>
      </c>
      <c r="S36" s="116">
        <v>1.0005925600000001</v>
      </c>
    </row>
    <row r="37" spans="4:19" x14ac:dyDescent="0.3">
      <c r="D37" s="110"/>
      <c r="J37" s="111"/>
      <c r="K37" s="111"/>
      <c r="M37" s="115">
        <v>38108</v>
      </c>
      <c r="N37" s="116">
        <v>1.2649999999999999</v>
      </c>
      <c r="O37" s="116">
        <v>16</v>
      </c>
      <c r="P37" s="116">
        <v>6.47</v>
      </c>
      <c r="Q37" s="116">
        <v>19.440000000000001</v>
      </c>
      <c r="R37" s="116">
        <v>15.79</v>
      </c>
      <c r="S37" s="116">
        <v>1.0005819499999999</v>
      </c>
    </row>
    <row r="38" spans="4:19" x14ac:dyDescent="0.3">
      <c r="D38" s="110"/>
      <c r="J38" s="111"/>
      <c r="K38" s="111"/>
      <c r="M38" s="115">
        <v>38139</v>
      </c>
      <c r="N38" s="116">
        <v>1.224</v>
      </c>
      <c r="O38" s="116">
        <v>16</v>
      </c>
      <c r="P38" s="116">
        <v>7.78</v>
      </c>
      <c r="Q38" s="116">
        <v>18.600000000000001</v>
      </c>
      <c r="R38" s="116">
        <v>15.78</v>
      </c>
      <c r="S38" s="116">
        <v>1.0005816000000001</v>
      </c>
    </row>
    <row r="39" spans="4:19" x14ac:dyDescent="0.3">
      <c r="D39" s="110"/>
      <c r="J39" s="111"/>
      <c r="K39" s="111"/>
      <c r="M39" s="115">
        <v>38169</v>
      </c>
      <c r="N39" s="116">
        <v>1.2649999999999999</v>
      </c>
      <c r="O39" s="116">
        <v>16</v>
      </c>
      <c r="P39" s="116">
        <v>9.14</v>
      </c>
      <c r="Q39" s="116">
        <v>17.8</v>
      </c>
      <c r="R39" s="116">
        <v>15.8</v>
      </c>
      <c r="S39" s="116">
        <v>1.0005822900000001</v>
      </c>
    </row>
    <row r="40" spans="4:19" x14ac:dyDescent="0.3">
      <c r="D40" s="110"/>
      <c r="J40" s="111"/>
      <c r="K40" s="111"/>
      <c r="M40" s="115">
        <v>38200</v>
      </c>
      <c r="N40" s="116">
        <v>1.2649999999999999</v>
      </c>
      <c r="O40" s="116">
        <v>16</v>
      </c>
      <c r="P40" s="116">
        <v>10.52</v>
      </c>
      <c r="Q40" s="116">
        <v>17.16</v>
      </c>
      <c r="R40" s="116">
        <v>15.82</v>
      </c>
      <c r="S40" s="116">
        <v>1.0005829799999999</v>
      </c>
    </row>
    <row r="41" spans="4:19" x14ac:dyDescent="0.3">
      <c r="D41" s="110"/>
      <c r="J41" s="111"/>
      <c r="K41" s="111"/>
      <c r="M41" s="115">
        <v>38231</v>
      </c>
      <c r="N41" s="116">
        <v>1.2329000000000001</v>
      </c>
      <c r="O41" s="116">
        <v>16.12</v>
      </c>
      <c r="P41" s="116">
        <v>11.88</v>
      </c>
      <c r="Q41" s="116">
        <v>16.75</v>
      </c>
      <c r="R41" s="116">
        <v>15.92</v>
      </c>
      <c r="S41" s="116">
        <v>1.0005864</v>
      </c>
    </row>
    <row r="42" spans="4:19" x14ac:dyDescent="0.3">
      <c r="D42" s="110"/>
      <c r="J42" s="111"/>
      <c r="K42" s="111"/>
      <c r="M42" s="115">
        <v>38261</v>
      </c>
      <c r="N42" s="116">
        <v>1.2966</v>
      </c>
      <c r="O42" s="116">
        <v>16.43</v>
      </c>
      <c r="P42" s="116">
        <v>13.33</v>
      </c>
      <c r="Q42" s="116">
        <v>16.47</v>
      </c>
      <c r="R42" s="116">
        <v>16.23</v>
      </c>
      <c r="S42" s="116">
        <v>1.0005970099999999</v>
      </c>
    </row>
    <row r="43" spans="4:19" x14ac:dyDescent="0.3">
      <c r="D43" s="110"/>
      <c r="J43" s="111"/>
      <c r="K43" s="111"/>
      <c r="M43" s="115">
        <v>38292</v>
      </c>
      <c r="N43" s="116">
        <v>1.2927999999999999</v>
      </c>
      <c r="O43" s="116">
        <v>16.97</v>
      </c>
      <c r="P43" s="116">
        <v>14.8</v>
      </c>
      <c r="Q43" s="116">
        <v>16.350000000000001</v>
      </c>
      <c r="R43" s="116">
        <v>16.739999999999998</v>
      </c>
      <c r="S43" s="116">
        <v>1.00061439</v>
      </c>
    </row>
    <row r="44" spans="4:19" x14ac:dyDescent="0.3">
      <c r="D44" s="110"/>
      <c r="J44" s="111"/>
      <c r="K44" s="111"/>
      <c r="M44" s="115">
        <v>38322</v>
      </c>
      <c r="N44" s="116">
        <v>1.3758999999999999</v>
      </c>
      <c r="O44" s="116">
        <v>17.510000000000002</v>
      </c>
      <c r="P44" s="116">
        <v>16.38</v>
      </c>
      <c r="Q44" s="116">
        <v>16.38</v>
      </c>
      <c r="R44" s="116">
        <v>17.23</v>
      </c>
      <c r="S44" s="116">
        <v>1.0006310199999999</v>
      </c>
    </row>
    <row r="45" spans="4:19" x14ac:dyDescent="0.3">
      <c r="D45" s="110"/>
      <c r="J45" s="111"/>
      <c r="K45" s="111"/>
      <c r="M45" s="115">
        <v>38353</v>
      </c>
      <c r="N45" s="116">
        <v>1.4076</v>
      </c>
      <c r="O45" s="116">
        <v>17.89</v>
      </c>
      <c r="P45" s="116">
        <v>1.41</v>
      </c>
      <c r="Q45" s="116">
        <v>16.5</v>
      </c>
      <c r="R45" s="116">
        <v>17.739999999999998</v>
      </c>
      <c r="S45" s="116">
        <v>1.00064826</v>
      </c>
    </row>
    <row r="46" spans="4:19" x14ac:dyDescent="0.3">
      <c r="D46" s="110"/>
      <c r="J46" s="111"/>
      <c r="K46" s="111"/>
      <c r="M46" s="115">
        <v>38384</v>
      </c>
      <c r="N46" s="116">
        <v>1.3047</v>
      </c>
      <c r="O46" s="116">
        <v>18.41</v>
      </c>
      <c r="P46" s="116">
        <v>2.73</v>
      </c>
      <c r="Q46" s="116">
        <v>16.600000000000001</v>
      </c>
      <c r="R46" s="116">
        <v>18.239999999999998</v>
      </c>
      <c r="S46" s="116">
        <v>1.00066509</v>
      </c>
    </row>
    <row r="47" spans="4:19" x14ac:dyDescent="0.3">
      <c r="D47" s="110"/>
      <c r="J47" s="111"/>
      <c r="K47" s="111"/>
      <c r="M47" s="115">
        <v>38412</v>
      </c>
      <c r="N47" s="116">
        <v>1.4837</v>
      </c>
      <c r="O47" s="116">
        <v>18.940000000000001</v>
      </c>
      <c r="P47" s="116">
        <v>4.25</v>
      </c>
      <c r="Q47" s="116">
        <v>16.82</v>
      </c>
      <c r="R47" s="116">
        <v>18.739999999999998</v>
      </c>
      <c r="S47" s="116">
        <v>1.0006818399999999</v>
      </c>
    </row>
    <row r="48" spans="4:19" x14ac:dyDescent="0.3">
      <c r="D48" s="110"/>
      <c r="J48" s="111"/>
      <c r="K48" s="111"/>
      <c r="M48" s="115">
        <v>38443</v>
      </c>
      <c r="N48" s="116">
        <v>1.4633</v>
      </c>
      <c r="O48" s="116">
        <v>19.329999999999998</v>
      </c>
      <c r="P48" s="116">
        <v>5.79</v>
      </c>
      <c r="Q48" s="116">
        <v>17.09</v>
      </c>
      <c r="R48" s="116">
        <v>19.239999999999998</v>
      </c>
      <c r="S48" s="116">
        <v>1.00069853</v>
      </c>
    </row>
    <row r="49" spans="4:19" x14ac:dyDescent="0.3">
      <c r="D49" s="110"/>
      <c r="J49" s="111"/>
      <c r="K49" s="111"/>
      <c r="M49" s="115">
        <v>38473</v>
      </c>
      <c r="N49" s="116">
        <v>1.5321</v>
      </c>
      <c r="O49" s="116">
        <v>19.600000000000001</v>
      </c>
      <c r="P49" s="116">
        <v>7.41</v>
      </c>
      <c r="Q49" s="116">
        <v>17.399999999999999</v>
      </c>
      <c r="R49" s="116">
        <v>19.5</v>
      </c>
      <c r="S49" s="116">
        <v>1.00070718</v>
      </c>
    </row>
    <row r="50" spans="4:19" x14ac:dyDescent="0.3">
      <c r="D50" s="110"/>
      <c r="J50" s="111"/>
      <c r="K50" s="111"/>
      <c r="M50" s="115">
        <v>38504</v>
      </c>
      <c r="N50" s="116">
        <v>1.4923999999999999</v>
      </c>
      <c r="O50" s="116">
        <v>19.75</v>
      </c>
      <c r="P50" s="116">
        <v>9.01</v>
      </c>
      <c r="Q50" s="116">
        <v>17.71</v>
      </c>
      <c r="R50" s="116">
        <v>19.760000000000002</v>
      </c>
      <c r="S50" s="116">
        <v>1.00071581</v>
      </c>
    </row>
    <row r="51" spans="4:19" x14ac:dyDescent="0.3">
      <c r="D51" s="110"/>
      <c r="J51" s="111"/>
      <c r="K51" s="111"/>
      <c r="M51" s="115">
        <v>38534</v>
      </c>
      <c r="N51" s="116">
        <v>1.5425</v>
      </c>
      <c r="O51" s="116">
        <v>19.75</v>
      </c>
      <c r="P51" s="116">
        <v>10.69</v>
      </c>
      <c r="Q51" s="116">
        <v>18.03</v>
      </c>
      <c r="R51" s="116">
        <v>19.73</v>
      </c>
      <c r="S51" s="116">
        <v>1.0007148100000001</v>
      </c>
    </row>
    <row r="52" spans="4:19" x14ac:dyDescent="0.3">
      <c r="D52" s="110"/>
      <c r="J52" s="111"/>
      <c r="K52" s="111"/>
      <c r="M52" s="115">
        <v>38565</v>
      </c>
      <c r="N52" s="116">
        <v>1.5425</v>
      </c>
      <c r="O52" s="116">
        <v>19.75</v>
      </c>
      <c r="P52" s="116">
        <v>12.4</v>
      </c>
      <c r="Q52" s="116">
        <v>18.36</v>
      </c>
      <c r="R52" s="116">
        <v>19.739999999999998</v>
      </c>
      <c r="S52" s="116">
        <v>1.00071515</v>
      </c>
    </row>
    <row r="53" spans="4:19" x14ac:dyDescent="0.3">
      <c r="D53" s="110"/>
      <c r="J53" s="111"/>
      <c r="K53" s="111"/>
      <c r="M53" s="115">
        <v>38596</v>
      </c>
      <c r="N53" s="116">
        <v>1.4831000000000001</v>
      </c>
      <c r="O53" s="116">
        <v>19.62</v>
      </c>
      <c r="P53" s="116">
        <v>14.07</v>
      </c>
      <c r="Q53" s="116">
        <v>18.649999999999999</v>
      </c>
      <c r="R53" s="116">
        <v>19.739999999999998</v>
      </c>
      <c r="S53" s="116">
        <v>1.00071515</v>
      </c>
    </row>
    <row r="54" spans="4:19" x14ac:dyDescent="0.3">
      <c r="D54" s="110"/>
      <c r="J54" s="111"/>
      <c r="K54" s="111"/>
      <c r="M54" s="115">
        <v>38626</v>
      </c>
      <c r="N54" s="116">
        <v>1.5105</v>
      </c>
      <c r="O54" s="116">
        <v>19.309999999999999</v>
      </c>
      <c r="P54" s="116">
        <v>15.79</v>
      </c>
      <c r="Q54" s="116">
        <v>18.899999999999999</v>
      </c>
      <c r="R54" s="116">
        <v>19.48</v>
      </c>
      <c r="S54" s="116">
        <v>1.0007065100000001</v>
      </c>
    </row>
    <row r="55" spans="4:19" x14ac:dyDescent="0.3">
      <c r="D55" s="110"/>
      <c r="J55" s="111"/>
      <c r="K55" s="111"/>
      <c r="M55" s="115">
        <v>38657</v>
      </c>
      <c r="N55" s="116">
        <v>1.4318</v>
      </c>
      <c r="O55" s="116">
        <v>18.88</v>
      </c>
      <c r="P55" s="116">
        <v>17.45</v>
      </c>
      <c r="Q55" s="116">
        <v>19.07</v>
      </c>
      <c r="R55" s="116">
        <v>18.95</v>
      </c>
      <c r="S55" s="116">
        <v>1.0006888599999999</v>
      </c>
    </row>
    <row r="56" spans="4:19" x14ac:dyDescent="0.3">
      <c r="D56" s="110"/>
      <c r="J56" s="111"/>
      <c r="K56" s="111"/>
      <c r="M56" s="115">
        <v>38687</v>
      </c>
      <c r="N56" s="116">
        <v>1.4320999999999999</v>
      </c>
      <c r="O56" s="116">
        <v>18.23</v>
      </c>
      <c r="P56" s="116">
        <v>19.13</v>
      </c>
      <c r="Q56" s="116">
        <v>19.13</v>
      </c>
      <c r="R56" s="116">
        <v>18.52</v>
      </c>
      <c r="S56" s="116">
        <v>1.00067448</v>
      </c>
    </row>
    <row r="57" spans="4:19" x14ac:dyDescent="0.3">
      <c r="D57" s="110"/>
      <c r="J57" s="111"/>
      <c r="K57" s="111"/>
      <c r="M57" s="115">
        <v>38718</v>
      </c>
      <c r="N57" s="116">
        <v>1.3926000000000001</v>
      </c>
      <c r="O57" s="116">
        <v>17.68</v>
      </c>
      <c r="P57" s="116">
        <v>1.39</v>
      </c>
      <c r="Q57" s="116">
        <v>19.11</v>
      </c>
      <c r="R57" s="116">
        <v>17.98</v>
      </c>
      <c r="S57" s="116">
        <v>1.0006563500000001</v>
      </c>
    </row>
    <row r="58" spans="4:19" x14ac:dyDescent="0.3">
      <c r="D58" s="110"/>
      <c r="J58" s="111"/>
      <c r="K58" s="111"/>
      <c r="M58" s="115">
        <v>38749</v>
      </c>
      <c r="N58" s="116">
        <v>1.2282999999999999</v>
      </c>
      <c r="O58" s="116">
        <v>17.25</v>
      </c>
      <c r="P58" s="116">
        <v>2.64</v>
      </c>
      <c r="Q58" s="116">
        <v>19.02</v>
      </c>
      <c r="R58" s="116">
        <v>17.23</v>
      </c>
      <c r="S58" s="116">
        <v>1.0006310199999999</v>
      </c>
    </row>
    <row r="59" spans="4:19" x14ac:dyDescent="0.3">
      <c r="D59" s="110"/>
      <c r="J59" s="111"/>
      <c r="K59" s="111"/>
      <c r="M59" s="115">
        <v>38777</v>
      </c>
      <c r="N59" s="116">
        <v>1.3198000000000001</v>
      </c>
      <c r="O59" s="116">
        <v>16.690000000000001</v>
      </c>
      <c r="P59" s="116">
        <v>3.99</v>
      </c>
      <c r="Q59" s="116">
        <v>18.82</v>
      </c>
      <c r="R59" s="116">
        <v>17.29</v>
      </c>
      <c r="S59" s="116">
        <v>1.00063305</v>
      </c>
    </row>
    <row r="60" spans="4:19" x14ac:dyDescent="0.3">
      <c r="D60" s="110"/>
      <c r="J60" s="111"/>
      <c r="K60" s="111"/>
      <c r="M60" s="115">
        <v>38808</v>
      </c>
      <c r="N60" s="116">
        <v>1.2434000000000001</v>
      </c>
      <c r="O60" s="116">
        <v>16.22</v>
      </c>
      <c r="P60" s="116">
        <v>5.29</v>
      </c>
      <c r="Q60" s="116">
        <v>18.57</v>
      </c>
      <c r="R60" s="116">
        <v>16.45</v>
      </c>
      <c r="S60" s="116">
        <v>1.00060452</v>
      </c>
    </row>
    <row r="61" spans="4:19" x14ac:dyDescent="0.3">
      <c r="D61" s="110"/>
      <c r="J61" s="111"/>
      <c r="K61" s="111"/>
      <c r="M61" s="115">
        <v>38838</v>
      </c>
      <c r="N61" s="116">
        <v>1.25</v>
      </c>
      <c r="O61" s="116">
        <v>15.75</v>
      </c>
      <c r="P61" s="116">
        <v>6.6</v>
      </c>
      <c r="Q61" s="116">
        <v>18.239999999999998</v>
      </c>
      <c r="R61" s="116">
        <v>15.69</v>
      </c>
      <c r="S61" s="116">
        <v>1.0005785199999999</v>
      </c>
    </row>
    <row r="62" spans="4:19" x14ac:dyDescent="0.3">
      <c r="D62" s="110"/>
      <c r="J62" s="111"/>
      <c r="K62" s="111"/>
      <c r="M62" s="115">
        <v>38869</v>
      </c>
      <c r="N62" s="116">
        <v>1.0117</v>
      </c>
      <c r="O62" s="116">
        <v>13.03</v>
      </c>
      <c r="P62" s="116">
        <v>7.68</v>
      </c>
      <c r="Q62" s="116">
        <v>17.68</v>
      </c>
      <c r="R62" s="116">
        <v>15.17</v>
      </c>
      <c r="S62" s="116">
        <v>1.0005606300000001</v>
      </c>
    </row>
    <row r="63" spans="4:19" x14ac:dyDescent="0.3">
      <c r="D63" s="110"/>
      <c r="J63" s="111"/>
      <c r="K63" s="111"/>
      <c r="M63" s="115">
        <v>38899</v>
      </c>
      <c r="N63" s="116">
        <v>1.012</v>
      </c>
      <c r="O63" s="116">
        <v>12.59</v>
      </c>
      <c r="P63" s="116">
        <v>8.77</v>
      </c>
      <c r="Q63" s="116">
        <v>17.059999999999999</v>
      </c>
      <c r="R63" s="116">
        <v>15.17</v>
      </c>
      <c r="S63" s="116">
        <v>1.0005606300000001</v>
      </c>
    </row>
    <row r="64" spans="4:19" x14ac:dyDescent="0.3">
      <c r="D64" s="110"/>
      <c r="J64" s="111"/>
      <c r="K64" s="111"/>
      <c r="M64" s="115">
        <v>38930</v>
      </c>
      <c r="N64" s="116">
        <v>1.1741999999999999</v>
      </c>
      <c r="O64" s="116">
        <v>14.73</v>
      </c>
      <c r="P64" s="116">
        <v>10.050000000000001</v>
      </c>
      <c r="Q64" s="116">
        <v>16.64</v>
      </c>
      <c r="R64" s="116">
        <v>14.66</v>
      </c>
      <c r="S64" s="116">
        <v>1.0005430099999999</v>
      </c>
    </row>
    <row r="65" spans="4:19" x14ac:dyDescent="0.3">
      <c r="D65" s="110"/>
      <c r="J65" s="111"/>
      <c r="K65" s="111"/>
      <c r="M65" s="115">
        <v>38961</v>
      </c>
      <c r="N65" s="116">
        <v>1.101</v>
      </c>
      <c r="O65" s="116">
        <v>14.25</v>
      </c>
      <c r="P65" s="116">
        <v>11.26</v>
      </c>
      <c r="Q65" s="116">
        <v>16.2</v>
      </c>
      <c r="R65" s="116">
        <v>14.17</v>
      </c>
      <c r="S65" s="116">
        <v>1.000526</v>
      </c>
    </row>
    <row r="66" spans="4:19" x14ac:dyDescent="0.3">
      <c r="D66" s="110"/>
      <c r="J66" s="111"/>
      <c r="K66" s="111"/>
      <c r="M66" s="115">
        <v>38991</v>
      </c>
      <c r="N66" s="116">
        <v>1.1221000000000001</v>
      </c>
      <c r="O66" s="116">
        <v>14.04</v>
      </c>
      <c r="P66" s="116">
        <v>12.51</v>
      </c>
      <c r="Q66" s="116">
        <v>15.75</v>
      </c>
      <c r="R66" s="116">
        <v>14.16</v>
      </c>
      <c r="S66" s="116">
        <v>1.0005256600000001</v>
      </c>
    </row>
    <row r="67" spans="4:19" x14ac:dyDescent="0.3">
      <c r="D67" s="110"/>
      <c r="J67" s="111"/>
      <c r="K67" s="111"/>
      <c r="M67" s="115">
        <v>39022</v>
      </c>
      <c r="N67" s="116">
        <v>1.0632999999999999</v>
      </c>
      <c r="O67" s="116">
        <v>13.73</v>
      </c>
      <c r="P67" s="116">
        <v>13.7</v>
      </c>
      <c r="Q67" s="116">
        <v>15.33</v>
      </c>
      <c r="R67" s="116">
        <v>13.68</v>
      </c>
      <c r="S67" s="116">
        <v>1.0005089300000001</v>
      </c>
    </row>
    <row r="68" spans="4:19" x14ac:dyDescent="0.3">
      <c r="D68" s="110"/>
      <c r="J68" s="111"/>
      <c r="K68" s="111"/>
      <c r="M68" s="115">
        <v>39052</v>
      </c>
      <c r="N68" s="116">
        <v>1.0624</v>
      </c>
      <c r="O68" s="116">
        <v>13.25</v>
      </c>
      <c r="P68" s="116">
        <v>14.91</v>
      </c>
      <c r="Q68" s="116">
        <v>14.91</v>
      </c>
      <c r="R68" s="116">
        <v>13.18</v>
      </c>
      <c r="S68" s="116">
        <v>1.0004914300000001</v>
      </c>
    </row>
    <row r="69" spans="4:19" x14ac:dyDescent="0.3">
      <c r="D69" s="110"/>
      <c r="J69" s="111"/>
      <c r="K69" s="111"/>
      <c r="M69" s="115">
        <v>39083</v>
      </c>
      <c r="N69" s="116">
        <v>1.0581</v>
      </c>
      <c r="O69" s="116">
        <v>13.19</v>
      </c>
      <c r="P69" s="116">
        <v>1.06</v>
      </c>
      <c r="Q69" s="116">
        <v>14.53</v>
      </c>
      <c r="R69" s="116">
        <v>13.19</v>
      </c>
      <c r="S69" s="116">
        <v>1.0004917799999999</v>
      </c>
    </row>
    <row r="70" spans="4:19" x14ac:dyDescent="0.3">
      <c r="D70" s="110"/>
      <c r="J70" s="111"/>
      <c r="K70" s="111"/>
      <c r="M70" s="115">
        <v>39114</v>
      </c>
      <c r="N70" s="116">
        <v>0.94199999999999995</v>
      </c>
      <c r="O70" s="116">
        <v>13</v>
      </c>
      <c r="P70" s="116">
        <v>2.0099999999999998</v>
      </c>
      <c r="Q70" s="116">
        <v>14.21</v>
      </c>
      <c r="R70" s="116">
        <v>13.18</v>
      </c>
      <c r="S70" s="116">
        <v>1.0004914300000001</v>
      </c>
    </row>
    <row r="71" spans="4:19" x14ac:dyDescent="0.3">
      <c r="D71" s="110"/>
      <c r="J71" s="111"/>
      <c r="K71" s="111"/>
      <c r="M71" s="115">
        <v>39142</v>
      </c>
      <c r="N71" s="116">
        <v>1.0286999999999999</v>
      </c>
      <c r="O71" s="116">
        <v>12.81</v>
      </c>
      <c r="P71" s="116">
        <v>3.06</v>
      </c>
      <c r="Q71" s="116">
        <v>13.88</v>
      </c>
      <c r="R71" s="116">
        <v>12.93</v>
      </c>
      <c r="S71" s="116">
        <v>1.0004826499999999</v>
      </c>
    </row>
    <row r="72" spans="4:19" x14ac:dyDescent="0.3">
      <c r="D72" s="110"/>
      <c r="J72" s="111"/>
      <c r="K72" s="111"/>
      <c r="M72" s="115">
        <v>39173</v>
      </c>
      <c r="N72" s="116">
        <v>0.98380000000000001</v>
      </c>
      <c r="O72" s="116">
        <v>12.65</v>
      </c>
      <c r="P72" s="116">
        <v>4.07</v>
      </c>
      <c r="Q72" s="116">
        <v>13.59</v>
      </c>
      <c r="R72" s="116">
        <v>12.68</v>
      </c>
      <c r="S72" s="116">
        <v>1.0004738500000001</v>
      </c>
    </row>
    <row r="73" spans="4:19" x14ac:dyDescent="0.3">
      <c r="D73" s="110"/>
      <c r="J73" s="111"/>
      <c r="K73" s="111"/>
      <c r="M73" s="115">
        <v>39203</v>
      </c>
      <c r="N73" s="116">
        <v>1.0054000000000001</v>
      </c>
      <c r="O73" s="116">
        <v>12.5</v>
      </c>
      <c r="P73" s="116">
        <v>5.12</v>
      </c>
      <c r="Q73" s="116">
        <v>13.31</v>
      </c>
      <c r="R73" s="116">
        <v>12.43</v>
      </c>
      <c r="S73" s="116">
        <v>1.00046503</v>
      </c>
    </row>
    <row r="74" spans="4:19" x14ac:dyDescent="0.3">
      <c r="D74" s="110"/>
      <c r="J74" s="111"/>
      <c r="K74" s="111"/>
      <c r="M74" s="115">
        <v>39234</v>
      </c>
      <c r="N74" s="116">
        <v>0.94320000000000004</v>
      </c>
      <c r="O74" s="116">
        <v>12.1</v>
      </c>
      <c r="P74" s="116">
        <v>6.11</v>
      </c>
      <c r="Q74" s="116">
        <v>13.24</v>
      </c>
      <c r="R74" s="116">
        <v>12.43</v>
      </c>
      <c r="S74" s="116">
        <v>1.00046503</v>
      </c>
    </row>
    <row r="75" spans="4:19" x14ac:dyDescent="0.3">
      <c r="D75" s="110"/>
      <c r="J75" s="111"/>
      <c r="K75" s="111"/>
      <c r="M75" s="115">
        <v>39264</v>
      </c>
      <c r="N75" s="116">
        <v>0.95109999999999995</v>
      </c>
      <c r="O75" s="116">
        <v>11.79</v>
      </c>
      <c r="P75" s="116">
        <v>7.12</v>
      </c>
      <c r="Q75" s="116">
        <v>13.17</v>
      </c>
      <c r="R75" s="116">
        <v>11.93</v>
      </c>
      <c r="S75" s="116">
        <v>1.00044734</v>
      </c>
    </row>
    <row r="76" spans="4:19" x14ac:dyDescent="0.3">
      <c r="D76" s="110"/>
      <c r="J76" s="111"/>
      <c r="K76" s="111"/>
      <c r="M76" s="115">
        <v>39295</v>
      </c>
      <c r="N76" s="116">
        <v>0.92879999999999996</v>
      </c>
      <c r="O76" s="116">
        <v>11.5</v>
      </c>
      <c r="P76" s="116">
        <v>8.1199999999999992</v>
      </c>
      <c r="Q76" s="116">
        <v>12.89</v>
      </c>
      <c r="R76" s="116">
        <v>11.43</v>
      </c>
      <c r="S76" s="116">
        <v>1.0004295599999999</v>
      </c>
    </row>
    <row r="77" spans="4:19" x14ac:dyDescent="0.3">
      <c r="D77" s="110"/>
      <c r="J77" s="111"/>
      <c r="K77" s="111"/>
      <c r="M77" s="115">
        <v>39326</v>
      </c>
      <c r="N77" s="116">
        <v>0.88319999999999999</v>
      </c>
      <c r="O77" s="116">
        <v>11.29</v>
      </c>
      <c r="P77" s="116">
        <v>9.07</v>
      </c>
      <c r="Q77" s="116">
        <v>12.65</v>
      </c>
      <c r="R77" s="116">
        <v>11.43</v>
      </c>
      <c r="S77" s="116">
        <v>1.0004295599999999</v>
      </c>
    </row>
    <row r="78" spans="4:19" x14ac:dyDescent="0.3">
      <c r="D78" s="110"/>
      <c r="J78" s="111"/>
      <c r="K78" s="111"/>
      <c r="M78" s="115">
        <v>39356</v>
      </c>
      <c r="N78" s="116">
        <v>0.90959999999999996</v>
      </c>
      <c r="O78" s="116">
        <v>11.25</v>
      </c>
      <c r="P78" s="116">
        <v>10.06</v>
      </c>
      <c r="Q78" s="116">
        <v>12.41</v>
      </c>
      <c r="R78" s="116">
        <v>11.18</v>
      </c>
      <c r="S78" s="116">
        <v>1.0004206499999999</v>
      </c>
    </row>
    <row r="79" spans="4:19" x14ac:dyDescent="0.3">
      <c r="D79" s="110"/>
      <c r="J79" s="111"/>
      <c r="K79" s="111"/>
      <c r="M79" s="115">
        <v>39387</v>
      </c>
      <c r="N79" s="116">
        <v>0.88009999999999999</v>
      </c>
      <c r="O79" s="116">
        <v>11.25</v>
      </c>
      <c r="P79" s="116">
        <v>11.03</v>
      </c>
      <c r="Q79" s="116">
        <v>12.21</v>
      </c>
      <c r="R79" s="116">
        <v>11.18</v>
      </c>
      <c r="S79" s="116">
        <v>1.0004206499999999</v>
      </c>
    </row>
    <row r="80" spans="4:19" x14ac:dyDescent="0.3">
      <c r="D80" s="110"/>
      <c r="J80" s="111"/>
      <c r="K80" s="111"/>
      <c r="M80" s="115">
        <v>39417</v>
      </c>
      <c r="N80" s="116">
        <v>0.90959999999999996</v>
      </c>
      <c r="O80" s="116">
        <v>11.25</v>
      </c>
      <c r="P80" s="116">
        <v>12.04</v>
      </c>
      <c r="Q80" s="116">
        <v>12.04</v>
      </c>
      <c r="R80" s="116">
        <v>11.18</v>
      </c>
      <c r="S80" s="116">
        <v>1.0004206499999999</v>
      </c>
    </row>
    <row r="81" spans="4:19" x14ac:dyDescent="0.3">
      <c r="D81" s="110"/>
      <c r="J81" s="111"/>
      <c r="K81" s="111"/>
      <c r="M81" s="115">
        <v>39448</v>
      </c>
      <c r="N81" s="116">
        <v>0.90710000000000002</v>
      </c>
      <c r="O81" s="116">
        <v>11.25</v>
      </c>
      <c r="P81" s="116">
        <v>0.91</v>
      </c>
      <c r="Q81" s="116">
        <v>11.87</v>
      </c>
      <c r="R81" s="116">
        <v>11.18</v>
      </c>
      <c r="S81" s="116">
        <v>1.0004206499999999</v>
      </c>
    </row>
    <row r="82" spans="4:19" x14ac:dyDescent="0.3">
      <c r="D82" s="110"/>
      <c r="J82" s="111"/>
      <c r="K82" s="111"/>
      <c r="M82" s="115">
        <v>39479</v>
      </c>
      <c r="N82" s="116">
        <v>0.84830000000000005</v>
      </c>
      <c r="O82" s="116">
        <v>11.25</v>
      </c>
      <c r="P82" s="116">
        <v>1.76</v>
      </c>
      <c r="Q82" s="116">
        <v>11.77</v>
      </c>
      <c r="R82" s="116">
        <v>11.18</v>
      </c>
      <c r="S82" s="116">
        <v>1.0004206499999999</v>
      </c>
    </row>
    <row r="83" spans="4:19" x14ac:dyDescent="0.3">
      <c r="D83" s="110"/>
      <c r="J83" s="111"/>
      <c r="K83" s="111"/>
      <c r="M83" s="115">
        <v>39508</v>
      </c>
      <c r="N83" s="116">
        <v>0.90710000000000002</v>
      </c>
      <c r="O83" s="116">
        <v>11.25</v>
      </c>
      <c r="P83" s="116">
        <v>2.69</v>
      </c>
      <c r="Q83" s="116">
        <v>11.63</v>
      </c>
      <c r="R83" s="116">
        <v>11.18</v>
      </c>
      <c r="S83" s="116">
        <v>1.0004206499999999</v>
      </c>
    </row>
    <row r="84" spans="4:19" x14ac:dyDescent="0.3">
      <c r="D84" s="110"/>
      <c r="J84" s="111"/>
      <c r="K84" s="111"/>
      <c r="M84" s="115">
        <v>39539</v>
      </c>
      <c r="N84" s="116">
        <v>0.89500000000000002</v>
      </c>
      <c r="O84" s="116">
        <v>11.48</v>
      </c>
      <c r="P84" s="116">
        <v>3.61</v>
      </c>
      <c r="Q84" s="116">
        <v>11.54</v>
      </c>
      <c r="R84" s="116">
        <v>11.18</v>
      </c>
      <c r="S84" s="116">
        <v>1.0004206499999999</v>
      </c>
    </row>
    <row r="85" spans="4:19" x14ac:dyDescent="0.3">
      <c r="D85" s="110"/>
      <c r="J85" s="111"/>
      <c r="K85" s="111"/>
      <c r="M85" s="115">
        <v>39569</v>
      </c>
      <c r="N85" s="116">
        <v>0.94540000000000002</v>
      </c>
      <c r="O85" s="116">
        <v>11.75</v>
      </c>
      <c r="P85" s="116">
        <v>4.58</v>
      </c>
      <c r="Q85" s="116">
        <v>11.47</v>
      </c>
      <c r="R85" s="116">
        <v>11.61</v>
      </c>
      <c r="S85" s="116">
        <v>1.0004359700000001</v>
      </c>
    </row>
    <row r="86" spans="4:19" x14ac:dyDescent="0.3">
      <c r="D86" s="110"/>
      <c r="J86" s="111"/>
      <c r="K86" s="111"/>
      <c r="M86" s="115">
        <v>39600</v>
      </c>
      <c r="N86" s="116">
        <v>0.94679999999999997</v>
      </c>
      <c r="O86" s="116">
        <v>12.18</v>
      </c>
      <c r="P86" s="116">
        <v>5.57</v>
      </c>
      <c r="Q86" s="116">
        <v>11.47</v>
      </c>
      <c r="R86" s="116">
        <v>11.64</v>
      </c>
      <c r="S86" s="116">
        <v>1.00043704</v>
      </c>
    </row>
    <row r="87" spans="4:19" x14ac:dyDescent="0.3">
      <c r="D87" s="110"/>
      <c r="J87" s="111"/>
      <c r="K87" s="111"/>
      <c r="M87" s="115">
        <v>39630</v>
      </c>
      <c r="N87" s="116">
        <v>0.99829999999999997</v>
      </c>
      <c r="O87" s="116">
        <v>12.44</v>
      </c>
      <c r="P87" s="116">
        <v>6.63</v>
      </c>
      <c r="Q87" s="116">
        <v>11.53</v>
      </c>
      <c r="R87" s="116">
        <v>12.17</v>
      </c>
      <c r="S87" s="116">
        <v>1.0004558400000001</v>
      </c>
    </row>
    <row r="88" spans="4:19" x14ac:dyDescent="0.3">
      <c r="D88" s="110"/>
      <c r="J88" s="111"/>
      <c r="K88" s="111"/>
      <c r="M88" s="115">
        <v>39661</v>
      </c>
      <c r="N88" s="116">
        <v>1.0406</v>
      </c>
      <c r="O88" s="116">
        <v>13</v>
      </c>
      <c r="P88" s="116">
        <v>7.74</v>
      </c>
      <c r="Q88" s="116">
        <v>11.65</v>
      </c>
      <c r="R88" s="116">
        <v>12.92</v>
      </c>
      <c r="S88" s="116">
        <v>1.0004823</v>
      </c>
    </row>
    <row r="89" spans="4:19" x14ac:dyDescent="0.3">
      <c r="D89" s="110"/>
      <c r="J89" s="111"/>
      <c r="K89" s="111"/>
      <c r="M89" s="115">
        <v>39692</v>
      </c>
      <c r="N89" s="116">
        <v>1.0432999999999999</v>
      </c>
      <c r="O89" s="116">
        <v>13.5</v>
      </c>
      <c r="P89" s="116">
        <v>8.86</v>
      </c>
      <c r="Q89" s="116">
        <v>11.83</v>
      </c>
      <c r="R89" s="116">
        <v>12.91</v>
      </c>
      <c r="S89" s="116">
        <v>1.00048194</v>
      </c>
    </row>
    <row r="90" spans="4:19" x14ac:dyDescent="0.3">
      <c r="D90" s="110"/>
      <c r="J90" s="111"/>
      <c r="K90" s="111"/>
      <c r="M90" s="115">
        <v>39722</v>
      </c>
      <c r="N90" s="116">
        <v>1.0972</v>
      </c>
      <c r="O90" s="116">
        <v>13.75</v>
      </c>
      <c r="P90" s="116">
        <v>10.06</v>
      </c>
      <c r="Q90" s="116">
        <v>12.04</v>
      </c>
      <c r="R90" s="116">
        <v>13.66</v>
      </c>
      <c r="S90" s="116">
        <v>1.0005082300000001</v>
      </c>
    </row>
    <row r="91" spans="4:19" x14ac:dyDescent="0.3">
      <c r="D91" s="110"/>
      <c r="J91" s="111"/>
      <c r="K91" s="111"/>
      <c r="M91" s="115">
        <v>39753</v>
      </c>
      <c r="N91" s="116">
        <v>1.0616000000000001</v>
      </c>
      <c r="O91" s="116">
        <v>13.75</v>
      </c>
      <c r="P91" s="116">
        <v>11.23</v>
      </c>
      <c r="Q91" s="116">
        <v>12.24</v>
      </c>
      <c r="R91" s="116">
        <v>13.65</v>
      </c>
      <c r="S91" s="116">
        <v>1.00050788</v>
      </c>
    </row>
    <row r="92" spans="4:19" x14ac:dyDescent="0.3">
      <c r="D92" s="110"/>
      <c r="J92" s="111"/>
      <c r="K92" s="111"/>
      <c r="M92" s="115">
        <v>39783</v>
      </c>
      <c r="N92" s="116">
        <v>1.0972</v>
      </c>
      <c r="O92" s="116">
        <v>13.75</v>
      </c>
      <c r="P92" s="116">
        <v>12.45</v>
      </c>
      <c r="Q92" s="116">
        <v>12.45</v>
      </c>
      <c r="R92" s="116">
        <v>13.65</v>
      </c>
      <c r="S92" s="116">
        <v>1.00050788</v>
      </c>
    </row>
    <row r="93" spans="4:19" x14ac:dyDescent="0.3">
      <c r="D93" s="110"/>
      <c r="J93" s="111"/>
      <c r="K93" s="111"/>
      <c r="M93" s="115">
        <v>39814</v>
      </c>
      <c r="N93" s="116">
        <v>1.0758000000000001</v>
      </c>
      <c r="O93" s="116">
        <v>13.43</v>
      </c>
      <c r="P93" s="116">
        <v>1.08</v>
      </c>
      <c r="Q93" s="116">
        <v>12.63</v>
      </c>
      <c r="R93" s="116">
        <v>13.67</v>
      </c>
      <c r="S93" s="116">
        <v>1.00050858</v>
      </c>
    </row>
    <row r="94" spans="4:19" x14ac:dyDescent="0.3">
      <c r="D94" s="110"/>
      <c r="J94" s="111"/>
      <c r="K94" s="111"/>
      <c r="M94" s="115">
        <v>39845</v>
      </c>
      <c r="N94" s="116">
        <v>0.92479999999999996</v>
      </c>
      <c r="O94" s="116">
        <v>12.75</v>
      </c>
      <c r="P94" s="116">
        <v>2.0099999999999998</v>
      </c>
      <c r="Q94" s="116">
        <v>12.75</v>
      </c>
      <c r="R94" s="116">
        <v>12.66</v>
      </c>
      <c r="S94" s="116">
        <v>1.00047314</v>
      </c>
    </row>
    <row r="95" spans="4:19" x14ac:dyDescent="0.3">
      <c r="D95" s="110"/>
      <c r="J95" s="111"/>
      <c r="K95" s="111"/>
      <c r="M95" s="115">
        <v>39873</v>
      </c>
      <c r="N95" s="116">
        <v>0.95030000000000003</v>
      </c>
      <c r="O95" s="116">
        <v>11.78</v>
      </c>
      <c r="P95" s="116">
        <v>2.98</v>
      </c>
      <c r="Q95" s="116">
        <v>12.77</v>
      </c>
      <c r="R95" s="116">
        <v>12.66</v>
      </c>
      <c r="S95" s="116">
        <v>1.00047314</v>
      </c>
    </row>
    <row r="96" spans="4:19" x14ac:dyDescent="0.3">
      <c r="D96" s="110"/>
      <c r="J96" s="111"/>
      <c r="K96" s="111"/>
      <c r="M96" s="115">
        <v>39904</v>
      </c>
      <c r="N96" s="116">
        <v>0.87760000000000005</v>
      </c>
      <c r="O96" s="116">
        <v>10.84</v>
      </c>
      <c r="P96" s="116">
        <v>3.88</v>
      </c>
      <c r="Q96" s="116">
        <v>12.75</v>
      </c>
      <c r="R96" s="116">
        <v>11.16</v>
      </c>
      <c r="S96" s="116">
        <v>1.0004199300000001</v>
      </c>
    </row>
    <row r="97" spans="4:19" x14ac:dyDescent="0.3">
      <c r="D97" s="110"/>
      <c r="J97" s="111"/>
      <c r="K97" s="111"/>
      <c r="M97" s="115">
        <v>39934</v>
      </c>
      <c r="N97" s="116">
        <v>0.83220000000000005</v>
      </c>
      <c r="O97" s="116">
        <v>10.25</v>
      </c>
      <c r="P97" s="116">
        <v>4.75</v>
      </c>
      <c r="Q97" s="116">
        <v>12.62</v>
      </c>
      <c r="R97" s="116">
        <v>10.16</v>
      </c>
      <c r="S97" s="116">
        <v>1.00038406</v>
      </c>
    </row>
    <row r="98" spans="4:19" x14ac:dyDescent="0.3">
      <c r="D98" s="110"/>
      <c r="J98" s="111"/>
      <c r="K98" s="111"/>
      <c r="M98" s="115">
        <v>39965</v>
      </c>
      <c r="N98" s="116">
        <v>0.75490000000000002</v>
      </c>
      <c r="O98" s="116">
        <v>9.26</v>
      </c>
      <c r="P98" s="116">
        <v>5.54</v>
      </c>
      <c r="Q98" s="116">
        <v>12.41</v>
      </c>
      <c r="R98" s="116">
        <v>10.16</v>
      </c>
      <c r="S98" s="116">
        <v>1.00038406</v>
      </c>
    </row>
    <row r="99" spans="4:19" x14ac:dyDescent="0.3">
      <c r="D99" s="110"/>
      <c r="J99" s="111"/>
      <c r="K99" s="111"/>
      <c r="M99" s="115">
        <v>39995</v>
      </c>
      <c r="N99" s="116">
        <v>0.74280000000000002</v>
      </c>
      <c r="O99" s="116">
        <v>9.1</v>
      </c>
      <c r="P99" s="116">
        <v>6.32</v>
      </c>
      <c r="Q99" s="116">
        <v>12.12</v>
      </c>
      <c r="R99" s="116">
        <v>9.16</v>
      </c>
      <c r="S99" s="116">
        <v>1.00034786</v>
      </c>
    </row>
    <row r="100" spans="4:19" x14ac:dyDescent="0.3">
      <c r="D100" s="110"/>
      <c r="J100" s="111"/>
      <c r="K100" s="111"/>
      <c r="M100" s="115">
        <v>40026</v>
      </c>
      <c r="N100" s="116">
        <v>0.71499999999999997</v>
      </c>
      <c r="O100" s="116">
        <v>8.75</v>
      </c>
      <c r="P100" s="116">
        <v>7.08</v>
      </c>
      <c r="Q100" s="116">
        <v>11.76</v>
      </c>
      <c r="R100" s="116">
        <v>9.16</v>
      </c>
      <c r="S100" s="116">
        <v>1.00034786</v>
      </c>
    </row>
    <row r="101" spans="4:19" x14ac:dyDescent="0.3">
      <c r="D101" s="110"/>
      <c r="J101" s="111"/>
      <c r="K101" s="111"/>
      <c r="M101" s="115">
        <v>40057</v>
      </c>
      <c r="N101" s="116">
        <v>0.69179999999999997</v>
      </c>
      <c r="O101" s="116">
        <v>8.75</v>
      </c>
      <c r="P101" s="116">
        <v>7.82</v>
      </c>
      <c r="Q101" s="116">
        <v>11.37</v>
      </c>
      <c r="R101" s="116">
        <v>8.65</v>
      </c>
      <c r="S101" s="116">
        <v>1.0003292699999999</v>
      </c>
    </row>
    <row r="102" spans="4:19" x14ac:dyDescent="0.3">
      <c r="D102" s="110"/>
      <c r="J102" s="111"/>
      <c r="K102" s="111"/>
      <c r="M102" s="115">
        <v>40087</v>
      </c>
      <c r="N102" s="116">
        <v>0.71499999999999997</v>
      </c>
      <c r="O102" s="116">
        <v>8.75</v>
      </c>
      <c r="P102" s="116">
        <v>8.59</v>
      </c>
      <c r="Q102" s="116">
        <v>10.95</v>
      </c>
      <c r="R102" s="116">
        <v>8.65</v>
      </c>
      <c r="S102" s="116">
        <v>1.0003292699999999</v>
      </c>
    </row>
    <row r="103" spans="4:19" x14ac:dyDescent="0.3">
      <c r="D103" s="110"/>
      <c r="J103" s="111"/>
      <c r="K103" s="111"/>
      <c r="M103" s="115">
        <v>40118</v>
      </c>
      <c r="N103" s="116">
        <v>0.69179999999999997</v>
      </c>
      <c r="O103" s="116">
        <v>8.75</v>
      </c>
      <c r="P103" s="116">
        <v>9.35</v>
      </c>
      <c r="Q103" s="116">
        <v>10.55</v>
      </c>
      <c r="R103" s="116">
        <v>8.65</v>
      </c>
      <c r="S103" s="116">
        <v>1.0003292699999999</v>
      </c>
    </row>
    <row r="104" spans="4:19" x14ac:dyDescent="0.3">
      <c r="D104" s="110"/>
      <c r="J104" s="111"/>
      <c r="K104" s="111"/>
      <c r="M104" s="115">
        <v>40148</v>
      </c>
      <c r="N104" s="116">
        <v>0.71499999999999997</v>
      </c>
      <c r="O104" s="116">
        <v>9.0500000000000007</v>
      </c>
      <c r="P104" s="116">
        <v>10.130000000000001</v>
      </c>
      <c r="Q104" s="116">
        <v>10.130000000000001</v>
      </c>
      <c r="R104" s="116">
        <v>8.65</v>
      </c>
      <c r="S104" s="116">
        <v>1.0003292699999999</v>
      </c>
    </row>
    <row r="105" spans="4:19" x14ac:dyDescent="0.3">
      <c r="D105" s="110"/>
      <c r="J105" s="111"/>
      <c r="K105" s="111"/>
      <c r="M105" s="115">
        <v>40179</v>
      </c>
      <c r="N105" s="116">
        <v>0.71499999999999997</v>
      </c>
      <c r="O105" s="116">
        <v>8.75</v>
      </c>
      <c r="P105" s="116">
        <v>0.71</v>
      </c>
      <c r="Q105" s="116">
        <v>9.73</v>
      </c>
      <c r="R105" s="116">
        <v>8.65</v>
      </c>
      <c r="S105" s="116">
        <v>1.0003292699999999</v>
      </c>
    </row>
    <row r="106" spans="4:19" x14ac:dyDescent="0.3">
      <c r="D106" s="110"/>
      <c r="J106" s="111"/>
      <c r="K106" s="111"/>
      <c r="M106" s="115">
        <v>40210</v>
      </c>
      <c r="N106" s="116">
        <v>0.64549999999999996</v>
      </c>
      <c r="O106" s="116">
        <v>8.75</v>
      </c>
      <c r="P106" s="116">
        <v>1.37</v>
      </c>
      <c r="Q106" s="116">
        <v>9.43</v>
      </c>
      <c r="R106" s="116">
        <v>8.65</v>
      </c>
      <c r="S106" s="116">
        <v>1.0003292699999999</v>
      </c>
    </row>
    <row r="107" spans="4:19" x14ac:dyDescent="0.3">
      <c r="D107" s="110"/>
      <c r="J107" s="111"/>
      <c r="K107" s="111"/>
      <c r="M107" s="115">
        <v>40238</v>
      </c>
      <c r="N107" s="116">
        <v>0.71499999999999997</v>
      </c>
      <c r="O107" s="116">
        <v>8.75</v>
      </c>
      <c r="P107" s="116">
        <v>2.09</v>
      </c>
      <c r="Q107" s="116">
        <v>9.18</v>
      </c>
      <c r="R107" s="116">
        <v>8.65</v>
      </c>
      <c r="S107" s="116">
        <v>1.0003292699999999</v>
      </c>
    </row>
    <row r="108" spans="4:19" x14ac:dyDescent="0.3">
      <c r="D108" s="110"/>
      <c r="J108" s="111"/>
      <c r="K108" s="111"/>
      <c r="M108" s="115">
        <v>40269</v>
      </c>
      <c r="N108" s="116">
        <v>0.6956</v>
      </c>
      <c r="O108" s="116">
        <v>8.8000000000000007</v>
      </c>
      <c r="P108" s="116">
        <v>2.8</v>
      </c>
      <c r="Q108" s="116">
        <v>8.98</v>
      </c>
      <c r="R108" s="116">
        <v>8.65</v>
      </c>
      <c r="S108" s="116">
        <v>1.0003292699999999</v>
      </c>
    </row>
    <row r="109" spans="4:19" x14ac:dyDescent="0.3">
      <c r="D109" s="110"/>
      <c r="J109" s="111"/>
      <c r="K109" s="111"/>
      <c r="M109" s="115">
        <v>40299</v>
      </c>
      <c r="N109" s="116">
        <v>0.77380000000000004</v>
      </c>
      <c r="O109" s="116">
        <v>9.5</v>
      </c>
      <c r="P109" s="116">
        <v>3.6</v>
      </c>
      <c r="Q109" s="116">
        <v>8.92</v>
      </c>
      <c r="R109" s="116">
        <v>9.4</v>
      </c>
      <c r="S109" s="116">
        <v>1.0003565699999999</v>
      </c>
    </row>
    <row r="110" spans="4:19" x14ac:dyDescent="0.3">
      <c r="D110" s="110"/>
      <c r="J110" s="111"/>
      <c r="K110" s="111"/>
      <c r="M110" s="115">
        <v>40330</v>
      </c>
      <c r="N110" s="116">
        <v>0.7883</v>
      </c>
      <c r="O110" s="116">
        <v>10.02</v>
      </c>
      <c r="P110" s="116">
        <v>4.41</v>
      </c>
      <c r="Q110" s="116">
        <v>8.9499999999999993</v>
      </c>
      <c r="R110" s="116">
        <v>9.4</v>
      </c>
      <c r="S110" s="116">
        <v>1.0003565699999999</v>
      </c>
    </row>
    <row r="111" spans="4:19" x14ac:dyDescent="0.3">
      <c r="D111" s="110"/>
      <c r="J111" s="111"/>
      <c r="K111" s="111"/>
      <c r="M111" s="115">
        <v>40360</v>
      </c>
      <c r="N111" s="116">
        <v>0.84470000000000001</v>
      </c>
      <c r="O111" s="116">
        <v>10.41</v>
      </c>
      <c r="P111" s="116">
        <v>5.29</v>
      </c>
      <c r="Q111" s="116">
        <v>9.06</v>
      </c>
      <c r="R111" s="116">
        <v>10.16</v>
      </c>
      <c r="S111" s="116">
        <v>1.00038406</v>
      </c>
    </row>
    <row r="112" spans="4:19" x14ac:dyDescent="0.3">
      <c r="D112" s="110"/>
      <c r="J112" s="111"/>
      <c r="K112" s="111"/>
      <c r="M112" s="115">
        <v>40391</v>
      </c>
      <c r="N112" s="116">
        <v>0.871</v>
      </c>
      <c r="O112" s="116">
        <v>10.75</v>
      </c>
      <c r="P112" s="116">
        <v>6.21</v>
      </c>
      <c r="Q112" s="116">
        <v>9.23</v>
      </c>
      <c r="R112" s="116">
        <v>10.66</v>
      </c>
      <c r="S112" s="116">
        <v>1.0004020300000001</v>
      </c>
    </row>
    <row r="113" spans="4:19" x14ac:dyDescent="0.3">
      <c r="D113" s="110"/>
      <c r="J113" s="111"/>
      <c r="K113" s="111"/>
      <c r="M113" s="115">
        <v>40422</v>
      </c>
      <c r="N113" s="116">
        <v>0.8579</v>
      </c>
      <c r="O113" s="116">
        <v>10.75</v>
      </c>
      <c r="P113" s="116">
        <v>6.26</v>
      </c>
      <c r="Q113" s="116">
        <v>9.42</v>
      </c>
      <c r="R113" s="116">
        <v>10.66</v>
      </c>
      <c r="S113" s="116">
        <v>1.0004020300000001</v>
      </c>
    </row>
    <row r="114" spans="4:19" x14ac:dyDescent="0.3">
      <c r="D114" s="110"/>
      <c r="J114" s="111"/>
      <c r="K114" s="111"/>
      <c r="M114" s="115">
        <v>40452</v>
      </c>
      <c r="N114" s="116">
        <v>0.871</v>
      </c>
      <c r="O114" s="116">
        <v>10.75</v>
      </c>
      <c r="P114" s="116">
        <v>8.0399999999999991</v>
      </c>
      <c r="Q114" s="116">
        <v>9.56</v>
      </c>
      <c r="R114" s="116">
        <v>10.66</v>
      </c>
      <c r="S114" s="116">
        <v>1.0004020300000001</v>
      </c>
    </row>
    <row r="115" spans="4:19" x14ac:dyDescent="0.3">
      <c r="D115" s="110"/>
      <c r="J115" s="111"/>
      <c r="K115" s="111"/>
      <c r="M115" s="115">
        <v>40483</v>
      </c>
      <c r="N115" s="116">
        <v>0.84279999999999999</v>
      </c>
      <c r="O115" s="116">
        <v>10.75</v>
      </c>
      <c r="P115" s="116">
        <v>8.9499999999999993</v>
      </c>
      <c r="Q115" s="116">
        <v>9.73</v>
      </c>
      <c r="R115" s="116">
        <v>10.66</v>
      </c>
      <c r="S115" s="116">
        <v>1.0004020300000001</v>
      </c>
    </row>
    <row r="116" spans="4:19" x14ac:dyDescent="0.3">
      <c r="D116" s="110"/>
      <c r="J116" s="111"/>
      <c r="K116" s="111"/>
      <c r="M116" s="115">
        <v>40513</v>
      </c>
      <c r="N116" s="116">
        <v>0.871</v>
      </c>
      <c r="O116" s="116">
        <v>10.75</v>
      </c>
      <c r="P116" s="116">
        <v>9.9</v>
      </c>
      <c r="Q116" s="116">
        <v>9.9</v>
      </c>
      <c r="R116" s="116">
        <v>10.66</v>
      </c>
      <c r="S116" s="116">
        <v>1.0004020300000001</v>
      </c>
    </row>
    <row r="117" spans="4:19" x14ac:dyDescent="0.3">
      <c r="D117" s="110"/>
      <c r="J117" s="111"/>
      <c r="K117" s="111"/>
      <c r="M117" s="115">
        <v>40544</v>
      </c>
      <c r="N117" s="116">
        <v>0.88590000000000002</v>
      </c>
      <c r="O117" s="116">
        <v>10.94</v>
      </c>
      <c r="P117" s="116">
        <v>0.89</v>
      </c>
      <c r="Q117" s="116">
        <v>10.09</v>
      </c>
      <c r="R117" s="116">
        <v>10.67</v>
      </c>
      <c r="S117" s="116">
        <v>1.0004023900000001</v>
      </c>
    </row>
    <row r="118" spans="4:19" x14ac:dyDescent="0.3">
      <c r="D118" s="110"/>
      <c r="J118" s="111"/>
      <c r="K118" s="111"/>
      <c r="M118" s="115">
        <v>40575</v>
      </c>
      <c r="N118" s="116">
        <v>0.82120000000000004</v>
      </c>
      <c r="O118" s="116">
        <v>11.25</v>
      </c>
      <c r="P118" s="116">
        <v>1.71</v>
      </c>
      <c r="Q118" s="116">
        <v>10.28</v>
      </c>
      <c r="R118" s="116">
        <v>11.16</v>
      </c>
      <c r="S118" s="116">
        <v>1.0004199300000001</v>
      </c>
    </row>
    <row r="119" spans="4:19" x14ac:dyDescent="0.3">
      <c r="D119" s="110"/>
      <c r="J119" s="111"/>
      <c r="K119" s="111"/>
      <c r="M119" s="115">
        <v>40603</v>
      </c>
      <c r="N119" s="116">
        <v>0.94550000000000001</v>
      </c>
      <c r="O119" s="116">
        <v>11.72</v>
      </c>
      <c r="P119" s="116">
        <v>2.68</v>
      </c>
      <c r="Q119" s="116">
        <v>10.53</v>
      </c>
      <c r="R119" s="116">
        <v>11.17</v>
      </c>
      <c r="S119" s="116">
        <v>1.0004202900000001</v>
      </c>
    </row>
    <row r="120" spans="4:19" x14ac:dyDescent="0.3">
      <c r="D120" s="110"/>
      <c r="J120" s="111"/>
      <c r="K120" s="111"/>
      <c r="M120" s="115">
        <v>40634</v>
      </c>
      <c r="N120" s="116">
        <v>0.92349999999999999</v>
      </c>
      <c r="O120" s="116">
        <v>11.83</v>
      </c>
      <c r="P120" s="116">
        <v>3.62</v>
      </c>
      <c r="Q120" s="116">
        <v>10.78</v>
      </c>
      <c r="R120" s="116">
        <v>11.67</v>
      </c>
      <c r="S120" s="116">
        <v>1.0004381</v>
      </c>
    </row>
    <row r="121" spans="4:19" x14ac:dyDescent="0.3">
      <c r="D121" s="110"/>
      <c r="J121" s="111"/>
      <c r="K121" s="111"/>
      <c r="M121" s="115">
        <v>40664</v>
      </c>
      <c r="N121" s="116">
        <v>0.96589999999999998</v>
      </c>
      <c r="O121" s="116">
        <v>11.98</v>
      </c>
      <c r="P121" s="116">
        <v>4.63</v>
      </c>
      <c r="Q121" s="116">
        <v>10.99</v>
      </c>
      <c r="R121" s="116">
        <v>11.92</v>
      </c>
      <c r="S121" s="116">
        <v>1.00044698</v>
      </c>
    </row>
    <row r="122" spans="4:19" x14ac:dyDescent="0.3">
      <c r="D122" s="110"/>
      <c r="J122" s="111"/>
      <c r="K122" s="111"/>
      <c r="M122" s="115">
        <v>40695</v>
      </c>
      <c r="N122" s="116">
        <v>0.94810000000000005</v>
      </c>
      <c r="O122" s="116">
        <v>12.17</v>
      </c>
      <c r="P122" s="116">
        <v>5.62</v>
      </c>
      <c r="Q122" s="116">
        <v>11.17</v>
      </c>
      <c r="R122" s="116">
        <v>11.92</v>
      </c>
      <c r="S122" s="116">
        <v>1.00044698</v>
      </c>
    </row>
    <row r="123" spans="4:19" x14ac:dyDescent="0.3">
      <c r="D123" s="110"/>
      <c r="J123" s="111"/>
      <c r="K123" s="111"/>
      <c r="M123" s="115">
        <v>40725</v>
      </c>
      <c r="N123" s="116">
        <v>0.99309999999999998</v>
      </c>
      <c r="O123" s="116">
        <v>12.34</v>
      </c>
      <c r="P123" s="116">
        <v>6.67</v>
      </c>
      <c r="Q123" s="116">
        <v>11.33</v>
      </c>
      <c r="R123" s="116">
        <v>12.17</v>
      </c>
      <c r="S123" s="116">
        <v>1.0004558400000001</v>
      </c>
    </row>
    <row r="124" spans="4:19" x14ac:dyDescent="0.3">
      <c r="D124" s="110"/>
      <c r="J124" s="111"/>
      <c r="K124" s="111"/>
      <c r="M124" s="115">
        <v>40756</v>
      </c>
      <c r="N124" s="116">
        <v>1.0054000000000001</v>
      </c>
      <c r="O124" s="116">
        <v>12.5</v>
      </c>
      <c r="P124" s="116">
        <v>7.74</v>
      </c>
      <c r="Q124" s="116">
        <v>11.48</v>
      </c>
      <c r="R124" s="116">
        <v>12.42</v>
      </c>
      <c r="S124" s="116">
        <v>1.0004646800000001</v>
      </c>
    </row>
    <row r="125" spans="4:19" x14ac:dyDescent="0.3">
      <c r="D125" s="110"/>
      <c r="J125" s="111"/>
      <c r="K125" s="111"/>
      <c r="M125" s="115">
        <v>40787</v>
      </c>
      <c r="N125" s="116">
        <v>0.93579999999999997</v>
      </c>
      <c r="O125" s="116">
        <v>12</v>
      </c>
      <c r="P125" s="116">
        <v>8.75</v>
      </c>
      <c r="Q125" s="116">
        <v>11.58</v>
      </c>
      <c r="R125" s="116">
        <v>11.91</v>
      </c>
      <c r="S125" s="116">
        <v>1.0004466299999999</v>
      </c>
    </row>
    <row r="126" spans="4:19" x14ac:dyDescent="0.3">
      <c r="D126" s="110"/>
      <c r="J126" s="111"/>
      <c r="K126" s="111"/>
      <c r="M126" s="115">
        <v>40817</v>
      </c>
      <c r="N126" s="116">
        <v>0.95230000000000004</v>
      </c>
      <c r="O126" s="116">
        <v>11.81</v>
      </c>
      <c r="P126" s="116">
        <v>9.7799999999999994</v>
      </c>
      <c r="Q126" s="116">
        <v>11.67</v>
      </c>
      <c r="R126" s="116">
        <v>11.9</v>
      </c>
      <c r="S126" s="116">
        <v>1.0004462700000001</v>
      </c>
    </row>
    <row r="127" spans="4:19" x14ac:dyDescent="0.3">
      <c r="D127" s="110"/>
      <c r="J127" s="111"/>
      <c r="K127" s="111"/>
      <c r="M127" s="115">
        <v>40848</v>
      </c>
      <c r="N127" s="116">
        <v>0.89870000000000005</v>
      </c>
      <c r="O127" s="116">
        <v>11.5</v>
      </c>
      <c r="P127" s="116">
        <v>10.77</v>
      </c>
      <c r="Q127" s="116">
        <v>11.73</v>
      </c>
      <c r="R127" s="116">
        <v>11.4</v>
      </c>
      <c r="S127" s="116">
        <v>1.00042849</v>
      </c>
    </row>
    <row r="128" spans="4:19" x14ac:dyDescent="0.3">
      <c r="D128" s="110"/>
      <c r="J128" s="111"/>
      <c r="K128" s="111"/>
      <c r="M128" s="115">
        <v>40878</v>
      </c>
      <c r="N128" s="116">
        <v>0.89029999999999998</v>
      </c>
      <c r="O128" s="116">
        <v>11</v>
      </c>
      <c r="P128" s="116">
        <v>11.76</v>
      </c>
      <c r="Q128" s="116">
        <v>11.76</v>
      </c>
      <c r="R128" s="116">
        <v>10.9</v>
      </c>
      <c r="S128" s="116">
        <v>1.00041063</v>
      </c>
    </row>
    <row r="129" spans="4:19" x14ac:dyDescent="0.3">
      <c r="D129" s="110"/>
      <c r="J129" s="111"/>
      <c r="K129" s="111"/>
      <c r="M129" s="115">
        <v>40909</v>
      </c>
      <c r="N129" s="116">
        <v>0.87170000000000003</v>
      </c>
      <c r="O129" s="116">
        <v>10.79</v>
      </c>
      <c r="P129" s="116">
        <v>0.87</v>
      </c>
      <c r="Q129" s="116">
        <v>11.74</v>
      </c>
      <c r="R129" s="116">
        <v>10.9</v>
      </c>
      <c r="S129" s="116">
        <v>1.00041063</v>
      </c>
    </row>
    <row r="130" spans="4:19" x14ac:dyDescent="0.3">
      <c r="D130" s="110"/>
      <c r="J130" s="111"/>
      <c r="K130" s="111"/>
      <c r="M130" s="115">
        <v>40940</v>
      </c>
      <c r="N130" s="116">
        <v>0.79430000000000001</v>
      </c>
      <c r="O130" s="116">
        <v>10.5</v>
      </c>
      <c r="P130" s="116">
        <v>1.67</v>
      </c>
      <c r="Q130" s="116">
        <v>11.71</v>
      </c>
      <c r="R130" s="116">
        <v>10.4</v>
      </c>
      <c r="S130" s="116">
        <v>1.0003926999999999</v>
      </c>
    </row>
    <row r="131" spans="4:19" x14ac:dyDescent="0.3">
      <c r="D131" s="110"/>
      <c r="J131" s="111"/>
      <c r="K131" s="111"/>
      <c r="M131" s="115">
        <v>40969</v>
      </c>
      <c r="N131" s="116">
        <v>0.80420000000000003</v>
      </c>
      <c r="O131" s="116">
        <v>9.92</v>
      </c>
      <c r="P131" s="116">
        <v>2.4900000000000002</v>
      </c>
      <c r="Q131" s="116">
        <v>11.55</v>
      </c>
      <c r="R131" s="116">
        <v>10.4</v>
      </c>
      <c r="S131" s="116">
        <v>1.0003926999999999</v>
      </c>
    </row>
    <row r="132" spans="4:19" x14ac:dyDescent="0.3">
      <c r="D132" s="110"/>
      <c r="J132" s="111"/>
      <c r="K132" s="111"/>
      <c r="M132" s="115">
        <v>41000</v>
      </c>
      <c r="N132" s="116">
        <v>0.74360000000000004</v>
      </c>
      <c r="O132" s="116">
        <v>9.4600000000000009</v>
      </c>
      <c r="P132" s="116">
        <v>3.25</v>
      </c>
      <c r="Q132" s="116">
        <v>11.35</v>
      </c>
      <c r="R132" s="116">
        <v>9.65</v>
      </c>
      <c r="S132" s="116">
        <v>1.0003656400000001</v>
      </c>
    </row>
    <row r="133" spans="4:19" x14ac:dyDescent="0.3">
      <c r="D133" s="110"/>
      <c r="J133" s="111"/>
      <c r="K133" s="111"/>
      <c r="M133" s="115">
        <v>41030</v>
      </c>
      <c r="N133" s="116">
        <v>0.73329999999999995</v>
      </c>
      <c r="O133" s="116">
        <v>9.01</v>
      </c>
      <c r="P133" s="116">
        <v>4.01</v>
      </c>
      <c r="Q133" s="116">
        <v>11.1</v>
      </c>
      <c r="R133" s="116">
        <v>8.9</v>
      </c>
      <c r="S133" s="116">
        <v>1.00033839</v>
      </c>
    </row>
    <row r="134" spans="4:19" x14ac:dyDescent="0.3">
      <c r="D134" s="110"/>
      <c r="J134" s="111"/>
      <c r="K134" s="111"/>
      <c r="M134" s="115">
        <v>41061</v>
      </c>
      <c r="N134" s="116">
        <v>0.67090000000000005</v>
      </c>
      <c r="O134" s="116">
        <v>8.5</v>
      </c>
      <c r="P134" s="116">
        <v>4.71</v>
      </c>
      <c r="Q134" s="116">
        <v>10.79</v>
      </c>
      <c r="R134" s="116">
        <v>8.39</v>
      </c>
      <c r="S134" s="116">
        <v>1.00031976</v>
      </c>
    </row>
    <row r="135" spans="4:19" x14ac:dyDescent="0.3">
      <c r="D135" s="110"/>
      <c r="J135" s="111"/>
      <c r="K135" s="111"/>
      <c r="M135" s="115">
        <v>41091</v>
      </c>
      <c r="N135" s="116">
        <v>0.66800000000000004</v>
      </c>
      <c r="O135" s="116">
        <v>8.18</v>
      </c>
      <c r="P135" s="116">
        <v>5.4</v>
      </c>
      <c r="Q135" s="116">
        <v>10.43</v>
      </c>
      <c r="R135" s="116">
        <v>8.39</v>
      </c>
      <c r="S135" s="116">
        <v>1.00031976</v>
      </c>
    </row>
    <row r="136" spans="4:19" x14ac:dyDescent="0.3">
      <c r="D136" s="110"/>
      <c r="J136" s="111"/>
      <c r="K136" s="111"/>
      <c r="M136" s="115">
        <v>41122</v>
      </c>
      <c r="N136" s="116">
        <v>0.65139999999999998</v>
      </c>
      <c r="O136" s="116">
        <v>7.97</v>
      </c>
      <c r="P136" s="116">
        <v>6.09</v>
      </c>
      <c r="Q136" s="116">
        <v>10.050000000000001</v>
      </c>
      <c r="R136" s="116">
        <v>7.89</v>
      </c>
      <c r="S136" s="116">
        <v>1.0003013999999999</v>
      </c>
    </row>
    <row r="137" spans="4:19" x14ac:dyDescent="0.3">
      <c r="D137" s="110"/>
      <c r="J137" s="111"/>
      <c r="K137" s="111"/>
      <c r="M137" s="115">
        <v>41153</v>
      </c>
      <c r="N137" s="116">
        <v>0.59460000000000002</v>
      </c>
      <c r="O137" s="116">
        <v>7.5</v>
      </c>
      <c r="P137" s="116">
        <v>6.72</v>
      </c>
      <c r="Q137" s="116">
        <v>9.67</v>
      </c>
      <c r="R137" s="116">
        <v>7.39</v>
      </c>
      <c r="S137" s="116">
        <v>1.0002829600000001</v>
      </c>
    </row>
    <row r="138" spans="4:19" x14ac:dyDescent="0.3">
      <c r="D138" s="110"/>
      <c r="J138" s="111"/>
      <c r="K138" s="111"/>
      <c r="M138" s="115">
        <v>41183</v>
      </c>
      <c r="N138" s="116">
        <v>0.60099999999999998</v>
      </c>
      <c r="O138" s="116">
        <v>7.33</v>
      </c>
      <c r="P138" s="116">
        <v>7.36</v>
      </c>
      <c r="Q138" s="116">
        <v>9.2899999999999991</v>
      </c>
      <c r="R138" s="116">
        <v>7.39</v>
      </c>
      <c r="S138" s="116">
        <v>1.0002829600000001</v>
      </c>
    </row>
    <row r="139" spans="4:19" x14ac:dyDescent="0.3">
      <c r="D139" s="110"/>
      <c r="J139" s="111"/>
      <c r="K139" s="111"/>
      <c r="M139" s="115">
        <v>41214</v>
      </c>
      <c r="N139" s="116">
        <v>0.57540000000000002</v>
      </c>
      <c r="O139" s="116">
        <v>7.25</v>
      </c>
      <c r="P139" s="116">
        <v>7.98</v>
      </c>
      <c r="Q139" s="116">
        <v>8.94</v>
      </c>
      <c r="R139" s="116">
        <v>7.14</v>
      </c>
      <c r="S139" s="116">
        <v>1.0002737100000001</v>
      </c>
    </row>
    <row r="140" spans="4:19" x14ac:dyDescent="0.3">
      <c r="D140" s="110"/>
      <c r="J140" s="111"/>
      <c r="K140" s="111"/>
      <c r="M140" s="115">
        <v>41244</v>
      </c>
      <c r="N140" s="116">
        <v>0.59460000000000002</v>
      </c>
      <c r="O140" s="116">
        <v>7.25</v>
      </c>
      <c r="P140" s="116">
        <v>8.6199999999999992</v>
      </c>
      <c r="Q140" s="116">
        <v>8.6199999999999992</v>
      </c>
      <c r="R140" s="116">
        <v>7.14</v>
      </c>
      <c r="S140" s="116">
        <v>1.0002737100000001</v>
      </c>
    </row>
    <row r="141" spans="4:19" x14ac:dyDescent="0.3">
      <c r="D141" s="110"/>
      <c r="J141" s="111"/>
      <c r="K141" s="111"/>
      <c r="M141" s="115">
        <v>41275</v>
      </c>
      <c r="N141" s="116">
        <v>0.59619999999999995</v>
      </c>
      <c r="O141" s="116">
        <v>7.25</v>
      </c>
      <c r="P141" s="116">
        <v>0.6</v>
      </c>
      <c r="Q141" s="116">
        <v>8.33</v>
      </c>
      <c r="R141" s="116">
        <v>7.11</v>
      </c>
      <c r="S141" s="116">
        <v>1.0002726</v>
      </c>
    </row>
    <row r="142" spans="4:19" x14ac:dyDescent="0.3">
      <c r="D142" s="110"/>
      <c r="J142" s="111"/>
      <c r="K142" s="111"/>
      <c r="M142" s="115">
        <v>41306</v>
      </c>
      <c r="N142" s="116">
        <v>0.53839999999999999</v>
      </c>
      <c r="O142" s="116">
        <v>7.25</v>
      </c>
      <c r="P142" s="116">
        <v>1.1399999999999999</v>
      </c>
      <c r="Q142" s="116">
        <v>8.08</v>
      </c>
      <c r="R142" s="116">
        <v>7.11</v>
      </c>
      <c r="S142" s="116">
        <v>1.0002726</v>
      </c>
    </row>
    <row r="143" spans="4:19" x14ac:dyDescent="0.3">
      <c r="D143" s="110"/>
      <c r="J143" s="111"/>
      <c r="K143" s="111"/>
      <c r="M143" s="115">
        <v>41334</v>
      </c>
      <c r="N143" s="116">
        <v>0.59619999999999995</v>
      </c>
      <c r="O143" s="116">
        <v>7.25</v>
      </c>
      <c r="P143" s="116">
        <v>1.74</v>
      </c>
      <c r="Q143" s="116">
        <v>7.83</v>
      </c>
      <c r="R143" s="116">
        <v>7.14</v>
      </c>
      <c r="S143" s="116">
        <v>1.0002737100000001</v>
      </c>
    </row>
    <row r="144" spans="4:19" x14ac:dyDescent="0.3">
      <c r="D144" s="110"/>
      <c r="J144" s="111"/>
      <c r="K144" s="111"/>
      <c r="M144" s="115">
        <v>41365</v>
      </c>
      <c r="N144" s="116">
        <v>0.57689999999999997</v>
      </c>
      <c r="O144" s="116">
        <v>7.25</v>
      </c>
      <c r="P144" s="116">
        <v>2.34</v>
      </c>
      <c r="Q144" s="116">
        <v>7.66</v>
      </c>
      <c r="R144" s="116">
        <v>7.16</v>
      </c>
      <c r="S144" s="116">
        <v>1.00027445</v>
      </c>
    </row>
    <row r="145" spans="4:19" x14ac:dyDescent="0.3">
      <c r="D145" s="110"/>
      <c r="J145" s="111"/>
      <c r="K145" s="111"/>
      <c r="M145" s="115">
        <v>41395</v>
      </c>
      <c r="N145" s="116">
        <v>0.61870000000000003</v>
      </c>
      <c r="O145" s="116">
        <v>7.53</v>
      </c>
      <c r="P145" s="116">
        <v>2.97</v>
      </c>
      <c r="Q145" s="116">
        <v>7.54</v>
      </c>
      <c r="R145" s="116">
        <v>7.4</v>
      </c>
      <c r="S145" s="116">
        <v>1.00028333</v>
      </c>
    </row>
    <row r="146" spans="4:19" x14ac:dyDescent="0.3">
      <c r="D146" s="110"/>
      <c r="J146" s="111"/>
      <c r="K146" s="111"/>
      <c r="M146" s="115">
        <v>41426</v>
      </c>
      <c r="N146" s="116">
        <v>0.63460000000000005</v>
      </c>
      <c r="O146" s="116">
        <v>8</v>
      </c>
      <c r="P146" s="116">
        <v>3.62</v>
      </c>
      <c r="Q146" s="116">
        <v>7.5</v>
      </c>
      <c r="R146" s="116">
        <v>7.9</v>
      </c>
      <c r="S146" s="116">
        <v>1.0003017700000001</v>
      </c>
    </row>
    <row r="147" spans="4:19" x14ac:dyDescent="0.3">
      <c r="D147" s="110"/>
      <c r="J147" s="111"/>
      <c r="K147" s="111"/>
      <c r="M147" s="115">
        <v>41456</v>
      </c>
      <c r="N147" s="116">
        <v>0.6825</v>
      </c>
      <c r="O147" s="116">
        <v>8.34</v>
      </c>
      <c r="P147" s="116">
        <v>4.33</v>
      </c>
      <c r="Q147" s="116">
        <v>7.52</v>
      </c>
      <c r="R147" s="116">
        <v>7.9</v>
      </c>
      <c r="S147" s="116">
        <v>1.0003017700000001</v>
      </c>
    </row>
    <row r="148" spans="4:19" x14ac:dyDescent="0.3">
      <c r="D148" s="110"/>
      <c r="J148" s="111"/>
      <c r="K148" s="111"/>
      <c r="M148" s="115">
        <v>41487</v>
      </c>
      <c r="N148" s="116">
        <v>0.69910000000000005</v>
      </c>
      <c r="O148" s="116">
        <v>8.5500000000000007</v>
      </c>
      <c r="P148" s="116">
        <v>5.0599999999999996</v>
      </c>
      <c r="Q148" s="116">
        <v>7.57</v>
      </c>
      <c r="R148" s="116">
        <v>8.4</v>
      </c>
      <c r="S148" s="116">
        <v>1.00032012</v>
      </c>
    </row>
    <row r="149" spans="4:19" x14ac:dyDescent="0.3">
      <c r="D149" s="110"/>
      <c r="J149" s="111"/>
      <c r="K149" s="111"/>
      <c r="M149" s="115">
        <v>41518</v>
      </c>
      <c r="N149" s="116">
        <v>0.71079999999999999</v>
      </c>
      <c r="O149" s="116">
        <v>9</v>
      </c>
      <c r="P149" s="116">
        <v>5.81</v>
      </c>
      <c r="Q149" s="116">
        <v>7.69</v>
      </c>
      <c r="R149" s="116">
        <v>8.9</v>
      </c>
      <c r="S149" s="116">
        <v>1.00033839</v>
      </c>
    </row>
    <row r="150" spans="4:19" x14ac:dyDescent="0.3">
      <c r="D150" s="110"/>
      <c r="J150" s="111"/>
      <c r="K150" s="111"/>
      <c r="M150" s="115">
        <v>41548</v>
      </c>
      <c r="N150" s="116">
        <v>0.76239999999999997</v>
      </c>
      <c r="O150" s="116">
        <v>9.35</v>
      </c>
      <c r="P150" s="116">
        <v>6.61</v>
      </c>
      <c r="Q150" s="116">
        <v>7.86</v>
      </c>
      <c r="R150" s="116">
        <v>8.9</v>
      </c>
      <c r="S150" s="116">
        <v>1.00033839</v>
      </c>
    </row>
    <row r="151" spans="4:19" x14ac:dyDescent="0.3">
      <c r="D151" s="110"/>
      <c r="J151" s="111"/>
      <c r="K151" s="111"/>
      <c r="M151" s="115">
        <v>41579</v>
      </c>
      <c r="N151" s="116">
        <v>0.75249999999999995</v>
      </c>
      <c r="O151" s="116">
        <v>9.5500000000000007</v>
      </c>
      <c r="P151" s="116">
        <v>7.42</v>
      </c>
      <c r="Q151" s="116">
        <v>8.0500000000000007</v>
      </c>
      <c r="R151" s="116">
        <v>9.4</v>
      </c>
      <c r="S151" s="116">
        <v>1.0003565699999999</v>
      </c>
    </row>
    <row r="152" spans="4:19" x14ac:dyDescent="0.3">
      <c r="D152" s="110"/>
      <c r="J152" s="111"/>
      <c r="K152" s="111"/>
      <c r="M152" s="115">
        <v>41609</v>
      </c>
      <c r="N152" s="116">
        <v>0.81279999999999997</v>
      </c>
      <c r="O152" s="116">
        <v>10</v>
      </c>
      <c r="P152" s="116">
        <v>8.2899999999999991</v>
      </c>
      <c r="Q152" s="116">
        <v>8.2899999999999991</v>
      </c>
      <c r="R152" s="116">
        <v>9.9</v>
      </c>
      <c r="S152" s="116">
        <v>1.00037468</v>
      </c>
    </row>
    <row r="153" spans="4:19" x14ac:dyDescent="0.3">
      <c r="D153" s="110"/>
      <c r="J153" s="111"/>
      <c r="K153" s="111"/>
      <c r="M153" s="115">
        <v>41640</v>
      </c>
      <c r="N153" s="116">
        <v>0.83279999999999998</v>
      </c>
      <c r="O153" s="116">
        <v>10.26</v>
      </c>
      <c r="P153" s="116">
        <v>0.83</v>
      </c>
      <c r="Q153" s="116">
        <v>8.5399999999999991</v>
      </c>
      <c r="R153" s="116">
        <v>9.9</v>
      </c>
      <c r="S153" s="116">
        <v>1.00037468</v>
      </c>
    </row>
    <row r="154" spans="4:19" x14ac:dyDescent="0.3">
      <c r="D154" s="110"/>
      <c r="J154" s="111"/>
      <c r="K154" s="111"/>
      <c r="M154" s="115">
        <v>41671</v>
      </c>
      <c r="N154" s="116">
        <v>0.77010000000000001</v>
      </c>
      <c r="O154" s="116">
        <v>10.52</v>
      </c>
      <c r="P154" s="116">
        <v>1.61</v>
      </c>
      <c r="Q154" s="116">
        <v>8.7899999999999991</v>
      </c>
      <c r="R154" s="116">
        <v>10.4</v>
      </c>
      <c r="S154" s="116">
        <v>1.0003926999999999</v>
      </c>
    </row>
    <row r="155" spans="4:19" x14ac:dyDescent="0.3">
      <c r="D155" s="110"/>
      <c r="J155" s="111"/>
      <c r="K155" s="111"/>
      <c r="M155" s="115">
        <v>41699</v>
      </c>
      <c r="N155" s="116">
        <v>0.871</v>
      </c>
      <c r="O155" s="116">
        <v>10.75</v>
      </c>
      <c r="P155" s="116">
        <v>2.4900000000000002</v>
      </c>
      <c r="Q155" s="116">
        <v>9.09</v>
      </c>
      <c r="R155" s="116">
        <v>10.65</v>
      </c>
      <c r="S155" s="116">
        <v>1.00040168</v>
      </c>
    </row>
    <row r="156" spans="4:19" x14ac:dyDescent="0.3">
      <c r="D156" s="110"/>
      <c r="J156" s="111"/>
      <c r="K156" s="111"/>
      <c r="M156" s="115">
        <v>41730</v>
      </c>
      <c r="N156" s="116">
        <v>0.86019999999999996</v>
      </c>
      <c r="O156" s="116">
        <v>10.98</v>
      </c>
      <c r="P156" s="116">
        <v>3.38</v>
      </c>
      <c r="Q156" s="116">
        <v>9.39</v>
      </c>
      <c r="R156" s="116">
        <v>10.65</v>
      </c>
      <c r="S156" s="116">
        <v>1.00040168</v>
      </c>
    </row>
    <row r="157" spans="4:19" x14ac:dyDescent="0.3">
      <c r="D157" s="110"/>
      <c r="J157" s="111"/>
      <c r="K157" s="111"/>
      <c r="M157" s="115">
        <v>41760</v>
      </c>
      <c r="N157" s="116">
        <v>0.86140000000000005</v>
      </c>
      <c r="O157" s="116">
        <v>10.63</v>
      </c>
      <c r="P157" s="116">
        <v>4.2699999999999996</v>
      </c>
      <c r="Q157" s="116">
        <v>9.68</v>
      </c>
      <c r="R157" s="116">
        <v>10.9</v>
      </c>
      <c r="S157" s="116">
        <v>1.00041063</v>
      </c>
    </row>
    <row r="158" spans="4:19" x14ac:dyDescent="0.3">
      <c r="D158" s="110"/>
      <c r="J158" s="111"/>
      <c r="K158" s="111"/>
      <c r="M158" s="115">
        <v>41791</v>
      </c>
      <c r="N158" s="116">
        <v>0.86140000000000005</v>
      </c>
      <c r="O158" s="116">
        <v>11</v>
      </c>
      <c r="P158" s="116">
        <v>5.19</v>
      </c>
      <c r="Q158" s="116">
        <v>9.93</v>
      </c>
      <c r="R158" s="116">
        <v>10.9</v>
      </c>
      <c r="S158" s="116">
        <v>1.00041063</v>
      </c>
    </row>
    <row r="159" spans="4:19" x14ac:dyDescent="0.3">
      <c r="D159" s="110"/>
      <c r="J159" s="111"/>
      <c r="K159" s="111"/>
      <c r="M159" s="115">
        <v>41821</v>
      </c>
      <c r="N159" s="116">
        <v>0.89029999999999998</v>
      </c>
      <c r="O159" s="116">
        <v>11</v>
      </c>
      <c r="P159" s="116">
        <v>6.13</v>
      </c>
      <c r="Q159" s="116">
        <v>10.16</v>
      </c>
      <c r="R159" s="116">
        <v>10.9</v>
      </c>
      <c r="S159" s="116">
        <v>1.00041063</v>
      </c>
    </row>
    <row r="160" spans="4:19" x14ac:dyDescent="0.3">
      <c r="D160" s="110"/>
      <c r="J160" s="111"/>
      <c r="K160" s="111"/>
      <c r="M160" s="115">
        <v>41852</v>
      </c>
      <c r="N160" s="116">
        <v>0.89029999999999998</v>
      </c>
      <c r="O160" s="116">
        <v>11</v>
      </c>
      <c r="P160" s="116">
        <v>7.08</v>
      </c>
      <c r="Q160" s="116">
        <v>10.37</v>
      </c>
      <c r="R160" s="116">
        <v>10.9</v>
      </c>
      <c r="S160" s="116">
        <v>1.00041063</v>
      </c>
    </row>
    <row r="161" spans="4:19" x14ac:dyDescent="0.3">
      <c r="D161" s="110"/>
      <c r="J161" s="111"/>
      <c r="K161" s="111"/>
      <c r="M161" s="115">
        <v>41883</v>
      </c>
      <c r="N161" s="116">
        <v>0.86140000000000005</v>
      </c>
      <c r="O161" s="116">
        <v>10.63</v>
      </c>
      <c r="P161" s="116">
        <v>8</v>
      </c>
      <c r="Q161" s="116">
        <v>10.53</v>
      </c>
      <c r="R161" s="116">
        <v>10.9</v>
      </c>
      <c r="S161" s="116">
        <v>1.00041063</v>
      </c>
    </row>
    <row r="162" spans="4:19" x14ac:dyDescent="0.3">
      <c r="D162" s="110"/>
      <c r="J162" s="111"/>
      <c r="K162" s="111"/>
      <c r="M162" s="115">
        <v>41913</v>
      </c>
      <c r="N162" s="116">
        <v>0.89149999999999996</v>
      </c>
      <c r="O162" s="116">
        <v>11.02</v>
      </c>
      <c r="P162" s="116">
        <v>8.9600000000000009</v>
      </c>
      <c r="Q162" s="116">
        <v>10.67</v>
      </c>
      <c r="R162" s="116">
        <v>10.9</v>
      </c>
      <c r="S162" s="116">
        <v>1.00041063</v>
      </c>
    </row>
    <row r="163" spans="4:19" x14ac:dyDescent="0.3">
      <c r="D163" s="110"/>
      <c r="J163" s="111"/>
      <c r="K163" s="111"/>
      <c r="M163" s="115">
        <v>41944</v>
      </c>
      <c r="N163" s="116">
        <v>0.88009999999999999</v>
      </c>
      <c r="O163" s="116">
        <v>10.87</v>
      </c>
      <c r="P163" s="116">
        <v>9.92</v>
      </c>
      <c r="Q163" s="116">
        <v>10.81</v>
      </c>
      <c r="R163" s="116">
        <v>11.15</v>
      </c>
      <c r="S163" s="116">
        <v>1.00041957</v>
      </c>
    </row>
    <row r="164" spans="4:19" x14ac:dyDescent="0.3">
      <c r="D164" s="110"/>
      <c r="J164" s="111"/>
      <c r="K164" s="111"/>
      <c r="M164" s="115">
        <v>41974</v>
      </c>
      <c r="N164" s="116">
        <v>0.94430000000000003</v>
      </c>
      <c r="O164" s="116">
        <v>11.7</v>
      </c>
      <c r="P164" s="116">
        <v>10.96</v>
      </c>
      <c r="Q164" s="116">
        <v>10.96</v>
      </c>
      <c r="R164" s="116">
        <v>11.15</v>
      </c>
      <c r="S164" s="116">
        <v>1.00041957</v>
      </c>
    </row>
    <row r="165" spans="4:19" x14ac:dyDescent="0.3">
      <c r="D165" s="110"/>
      <c r="J165" s="111"/>
      <c r="K165" s="111"/>
      <c r="M165" s="115">
        <v>42005</v>
      </c>
      <c r="N165" s="116">
        <v>0.96040000000000003</v>
      </c>
      <c r="O165" s="116">
        <v>11.91</v>
      </c>
      <c r="P165" s="116">
        <v>0.96</v>
      </c>
      <c r="Q165" s="116">
        <v>11.1</v>
      </c>
      <c r="R165" s="116">
        <v>11.65</v>
      </c>
      <c r="S165" s="116">
        <v>1.0004373900000001</v>
      </c>
    </row>
    <row r="166" spans="4:19" x14ac:dyDescent="0.3">
      <c r="D166" s="110"/>
      <c r="J166" s="111"/>
      <c r="K166" s="111"/>
      <c r="M166" s="115">
        <v>42036</v>
      </c>
      <c r="N166" s="116">
        <v>0.89039999999999997</v>
      </c>
      <c r="O166" s="116">
        <v>12.25</v>
      </c>
      <c r="P166" s="116">
        <v>1.86</v>
      </c>
      <c r="Q166" s="116">
        <v>11.23</v>
      </c>
      <c r="R166" s="116">
        <v>12.15</v>
      </c>
      <c r="S166" s="116">
        <v>1.00045513</v>
      </c>
    </row>
    <row r="167" spans="4:19" x14ac:dyDescent="0.3">
      <c r="D167" s="110"/>
      <c r="J167" s="111"/>
      <c r="K167" s="111"/>
      <c r="M167" s="115">
        <v>42064</v>
      </c>
      <c r="N167" s="116">
        <v>1.0195000000000001</v>
      </c>
      <c r="O167" s="116">
        <v>12.75</v>
      </c>
      <c r="P167" s="116">
        <v>2.9</v>
      </c>
      <c r="Q167" s="116">
        <v>11.4</v>
      </c>
      <c r="R167" s="116">
        <v>12.15</v>
      </c>
      <c r="S167" s="116">
        <v>1.00045513</v>
      </c>
    </row>
    <row r="168" spans="4:19" x14ac:dyDescent="0.3">
      <c r="D168" s="110"/>
      <c r="J168" s="111"/>
      <c r="K168" s="111"/>
      <c r="M168" s="115">
        <v>42095</v>
      </c>
      <c r="N168" s="116">
        <v>0.99239999999999995</v>
      </c>
      <c r="O168" s="116">
        <v>12.77</v>
      </c>
      <c r="P168" s="116">
        <v>3.92</v>
      </c>
      <c r="Q168" s="116">
        <v>11.54</v>
      </c>
      <c r="R168" s="116">
        <v>12.65</v>
      </c>
      <c r="S168" s="116">
        <v>1.0004727899999999</v>
      </c>
    </row>
    <row r="169" spans="4:19" x14ac:dyDescent="0.3">
      <c r="D169" s="110"/>
      <c r="J169" s="111"/>
      <c r="K169" s="111"/>
      <c r="M169" s="115">
        <v>42125</v>
      </c>
      <c r="N169" s="116">
        <v>1.0624</v>
      </c>
      <c r="O169" s="116">
        <v>13.25</v>
      </c>
      <c r="P169" s="116">
        <v>5.0199999999999996</v>
      </c>
      <c r="Q169" s="116">
        <v>11.73</v>
      </c>
      <c r="R169" s="116">
        <v>13.15</v>
      </c>
      <c r="S169" s="116">
        <v>1.0004903700000001</v>
      </c>
    </row>
    <row r="170" spans="4:19" x14ac:dyDescent="0.3">
      <c r="D170" s="110"/>
      <c r="J170" s="111"/>
      <c r="K170" s="111"/>
      <c r="M170" s="115">
        <v>42156</v>
      </c>
      <c r="N170" s="116">
        <v>1.0609</v>
      </c>
      <c r="O170" s="116">
        <v>13.7</v>
      </c>
      <c r="P170" s="116">
        <v>6.14</v>
      </c>
      <c r="Q170" s="116">
        <v>11.95</v>
      </c>
      <c r="R170" s="116">
        <v>13.15</v>
      </c>
      <c r="S170" s="116">
        <v>1.0004903700000001</v>
      </c>
    </row>
    <row r="171" spans="4:19" x14ac:dyDescent="0.3">
      <c r="D171" s="110"/>
      <c r="J171" s="111"/>
      <c r="K171" s="111"/>
      <c r="M171" s="115">
        <v>42186</v>
      </c>
      <c r="N171" s="116">
        <v>1.1026</v>
      </c>
      <c r="O171" s="116">
        <v>13.78</v>
      </c>
      <c r="P171" s="116">
        <v>7.31</v>
      </c>
      <c r="Q171" s="116">
        <v>12.19</v>
      </c>
      <c r="R171" s="116">
        <v>13.65</v>
      </c>
      <c r="S171" s="116">
        <v>1.00050788</v>
      </c>
    </row>
    <row r="172" spans="4:19" x14ac:dyDescent="0.3">
      <c r="D172" s="110"/>
      <c r="J172" s="111"/>
      <c r="K172" s="111"/>
      <c r="M172" s="115">
        <v>42217</v>
      </c>
      <c r="N172" s="116">
        <v>1.1378999999999999</v>
      </c>
      <c r="O172" s="116">
        <v>14.25</v>
      </c>
      <c r="P172" s="116">
        <v>8.5299999999999994</v>
      </c>
      <c r="Q172" s="116">
        <v>12.46</v>
      </c>
      <c r="R172" s="116">
        <v>14.15</v>
      </c>
      <c r="S172" s="116">
        <v>1.00052531</v>
      </c>
    </row>
    <row r="173" spans="4:19" x14ac:dyDescent="0.3">
      <c r="D173" s="110"/>
      <c r="J173" s="111"/>
      <c r="K173" s="111"/>
      <c r="M173" s="115">
        <v>42248</v>
      </c>
      <c r="N173" s="116">
        <v>1.101</v>
      </c>
      <c r="O173" s="116">
        <v>14.25</v>
      </c>
      <c r="P173" s="116">
        <v>9.7200000000000006</v>
      </c>
      <c r="Q173" s="116">
        <v>12.73</v>
      </c>
      <c r="R173" s="116">
        <v>14.15</v>
      </c>
      <c r="S173" s="116">
        <v>1.00052531</v>
      </c>
    </row>
    <row r="174" spans="4:19" x14ac:dyDescent="0.3">
      <c r="D174" s="110"/>
      <c r="J174" s="111"/>
      <c r="K174" s="111"/>
      <c r="M174" s="115">
        <v>42278</v>
      </c>
      <c r="N174" s="116">
        <v>1.1378999999999999</v>
      </c>
      <c r="O174" s="116">
        <v>14.25</v>
      </c>
      <c r="P174" s="116">
        <v>10.97</v>
      </c>
      <c r="Q174" s="116">
        <v>13.01</v>
      </c>
      <c r="R174" s="116">
        <v>14.15</v>
      </c>
      <c r="S174" s="116">
        <v>1.00052531</v>
      </c>
    </row>
    <row r="175" spans="4:19" x14ac:dyDescent="0.3">
      <c r="J175" s="111"/>
      <c r="K175" s="111"/>
      <c r="M175" s="115">
        <v>42309</v>
      </c>
      <c r="N175" s="116">
        <v>1.101</v>
      </c>
      <c r="O175" s="116">
        <v>14.25</v>
      </c>
      <c r="P175" s="116">
        <v>12.19</v>
      </c>
      <c r="Q175" s="116">
        <v>13.25</v>
      </c>
      <c r="R175" s="116">
        <v>14.15</v>
      </c>
      <c r="S175" s="116">
        <v>1.00052531</v>
      </c>
    </row>
    <row r="176" spans="4:19" x14ac:dyDescent="0.3">
      <c r="D176" s="110"/>
      <c r="J176" s="111"/>
      <c r="K176" s="111"/>
      <c r="M176" s="115">
        <v>42339</v>
      </c>
      <c r="N176" s="116">
        <v>1.1378999999999999</v>
      </c>
      <c r="O176" s="116">
        <v>14.25</v>
      </c>
      <c r="P176" s="116">
        <v>13.47</v>
      </c>
      <c r="Q176" s="116">
        <v>13.47</v>
      </c>
      <c r="R176" s="116">
        <v>14.15</v>
      </c>
      <c r="S176" s="116">
        <v>1.00052531</v>
      </c>
    </row>
    <row r="177" spans="4:19" x14ac:dyDescent="0.3">
      <c r="D177" s="110"/>
      <c r="J177" s="111"/>
      <c r="K177" s="111"/>
      <c r="M177" s="115">
        <v>42370</v>
      </c>
      <c r="N177" s="116">
        <v>1.1347</v>
      </c>
      <c r="O177" s="116">
        <v>14.25</v>
      </c>
      <c r="P177" s="116">
        <v>1.1299999999999999</v>
      </c>
      <c r="Q177" s="116">
        <v>13.67</v>
      </c>
      <c r="R177" s="116">
        <v>14.15</v>
      </c>
      <c r="S177" s="116">
        <v>1.00052531</v>
      </c>
    </row>
    <row r="178" spans="4:19" x14ac:dyDescent="0.3">
      <c r="D178" s="110"/>
      <c r="J178" s="111"/>
      <c r="K178" s="111"/>
      <c r="M178" s="115">
        <v>42401</v>
      </c>
      <c r="N178" s="116">
        <v>1.0610999999999999</v>
      </c>
      <c r="O178" s="116">
        <v>14.25</v>
      </c>
      <c r="P178" s="116">
        <v>2.21</v>
      </c>
      <c r="Q178" s="116">
        <v>13.86</v>
      </c>
      <c r="R178" s="116">
        <v>14.15</v>
      </c>
      <c r="S178" s="116">
        <v>1.00052531</v>
      </c>
    </row>
    <row r="179" spans="4:19" x14ac:dyDescent="0.3">
      <c r="J179" s="111"/>
      <c r="K179" s="111"/>
      <c r="M179" s="115">
        <v>42430</v>
      </c>
      <c r="N179" s="116">
        <v>1.1347</v>
      </c>
      <c r="O179" s="116">
        <v>14.25</v>
      </c>
      <c r="P179" s="116">
        <v>3.37</v>
      </c>
      <c r="Q179" s="116">
        <v>13.99</v>
      </c>
      <c r="R179" s="116">
        <v>14.15</v>
      </c>
      <c r="S179" s="116">
        <v>1.00052531</v>
      </c>
    </row>
    <row r="180" spans="4:19" x14ac:dyDescent="0.3">
      <c r="D180" s="110"/>
      <c r="J180" s="111"/>
      <c r="K180" s="111"/>
      <c r="M180" s="115">
        <v>42461</v>
      </c>
      <c r="N180" s="116">
        <v>1.0979000000000001</v>
      </c>
      <c r="O180" s="116">
        <v>14.25</v>
      </c>
      <c r="P180" s="116">
        <v>4.5</v>
      </c>
      <c r="Q180" s="116">
        <v>14.11</v>
      </c>
      <c r="R180" s="116">
        <v>14.15</v>
      </c>
      <c r="S180" s="116">
        <v>1.00052531</v>
      </c>
    </row>
    <row r="181" spans="4:19" x14ac:dyDescent="0.3">
      <c r="D181" s="110"/>
      <c r="J181" s="111"/>
      <c r="K181" s="111"/>
      <c r="M181" s="115">
        <v>42491</v>
      </c>
      <c r="N181" s="116">
        <v>1.1347</v>
      </c>
      <c r="O181" s="116">
        <v>14.25</v>
      </c>
      <c r="P181" s="116">
        <v>5.69</v>
      </c>
      <c r="Q181" s="116">
        <v>14.19</v>
      </c>
      <c r="R181" s="116">
        <v>14.15</v>
      </c>
      <c r="S181" s="116">
        <v>1.00052531</v>
      </c>
    </row>
    <row r="182" spans="4:19" x14ac:dyDescent="0.3">
      <c r="D182" s="110"/>
      <c r="J182" s="111"/>
      <c r="K182" s="111"/>
      <c r="M182" s="115">
        <v>42522</v>
      </c>
      <c r="N182" s="116">
        <v>1.0979000000000001</v>
      </c>
      <c r="O182" s="116">
        <v>14.25</v>
      </c>
      <c r="P182" s="116">
        <v>6.85</v>
      </c>
      <c r="Q182" s="116">
        <v>14.23</v>
      </c>
      <c r="R182" s="116">
        <v>14.15</v>
      </c>
      <c r="S182" s="116">
        <v>1.00052531</v>
      </c>
    </row>
    <row r="183" spans="4:19" x14ac:dyDescent="0.3">
      <c r="D183" s="110"/>
      <c r="J183" s="111"/>
      <c r="K183" s="111"/>
      <c r="M183" s="115">
        <v>42552</v>
      </c>
      <c r="N183" s="116">
        <v>1.1347</v>
      </c>
      <c r="O183" s="116">
        <v>14.25</v>
      </c>
      <c r="P183" s="116">
        <v>8.06</v>
      </c>
      <c r="Q183" s="116">
        <v>14.27</v>
      </c>
      <c r="R183" s="116">
        <v>14.15</v>
      </c>
      <c r="S183" s="116">
        <v>1.00052531</v>
      </c>
    </row>
    <row r="184" spans="4:19" x14ac:dyDescent="0.3">
      <c r="D184" s="110"/>
      <c r="J184" s="111"/>
      <c r="K184" s="111"/>
      <c r="M184" s="115">
        <v>42583</v>
      </c>
      <c r="N184" s="116">
        <v>1.1347</v>
      </c>
      <c r="O184" s="116">
        <v>14.25</v>
      </c>
      <c r="P184" s="116">
        <v>9.2899999999999991</v>
      </c>
      <c r="Q184" s="116">
        <v>14.26</v>
      </c>
      <c r="R184" s="116">
        <v>14.15</v>
      </c>
      <c r="S184" s="116">
        <v>1.00052531</v>
      </c>
    </row>
    <row r="185" spans="4:19" x14ac:dyDescent="0.3">
      <c r="D185" s="110"/>
      <c r="J185" s="111"/>
      <c r="K185" s="111"/>
      <c r="M185" s="115">
        <v>42614</v>
      </c>
      <c r="N185" s="116">
        <v>1.0979000000000001</v>
      </c>
      <c r="O185" s="116">
        <v>14.25</v>
      </c>
      <c r="P185" s="116">
        <v>10.49</v>
      </c>
      <c r="Q185" s="116">
        <v>14.26</v>
      </c>
      <c r="R185" s="116">
        <v>14.15</v>
      </c>
      <c r="S185" s="116">
        <v>1.00052531</v>
      </c>
    </row>
    <row r="186" spans="4:19" x14ac:dyDescent="0.3">
      <c r="D186" s="110"/>
      <c r="J186" s="111"/>
      <c r="K186" s="111"/>
      <c r="M186" s="115">
        <v>42644</v>
      </c>
      <c r="N186" s="116">
        <v>1.1274999999999999</v>
      </c>
      <c r="O186" s="116">
        <v>14.15</v>
      </c>
      <c r="P186" s="116">
        <v>11.73</v>
      </c>
      <c r="Q186" s="116">
        <v>14.25</v>
      </c>
      <c r="R186" s="116">
        <v>14.15</v>
      </c>
      <c r="S186" s="116">
        <v>1.00052531</v>
      </c>
    </row>
    <row r="187" spans="4:19" x14ac:dyDescent="0.3">
      <c r="D187" s="110"/>
      <c r="J187" s="111"/>
      <c r="K187" s="111"/>
      <c r="M187" s="115">
        <v>42675</v>
      </c>
      <c r="N187" s="116">
        <v>1.0798000000000001</v>
      </c>
      <c r="O187" s="116">
        <v>14</v>
      </c>
      <c r="P187" s="116">
        <v>12.94</v>
      </c>
      <c r="Q187" s="116">
        <v>14.22</v>
      </c>
      <c r="R187" s="116">
        <v>13.9</v>
      </c>
      <c r="S187" s="116">
        <v>1.0005166000000001</v>
      </c>
    </row>
    <row r="188" spans="4:19" x14ac:dyDescent="0.3">
      <c r="D188" s="110"/>
      <c r="J188" s="111"/>
      <c r="K188" s="111"/>
      <c r="M188" s="115">
        <v>42705</v>
      </c>
      <c r="N188" s="116">
        <v>1.0972</v>
      </c>
      <c r="O188" s="116">
        <v>13.75</v>
      </c>
      <c r="P188" s="116">
        <v>14.18</v>
      </c>
      <c r="Q188" s="116">
        <v>14.18</v>
      </c>
      <c r="R188" s="116">
        <v>13.65</v>
      </c>
      <c r="S188" s="116">
        <v>1.00050788</v>
      </c>
    </row>
    <row r="189" spans="4:19" x14ac:dyDescent="0.3">
      <c r="D189" s="110"/>
      <c r="J189" s="111"/>
      <c r="K189" s="111"/>
      <c r="M189" s="115">
        <v>42736</v>
      </c>
      <c r="N189" s="116">
        <v>1.0636000000000001</v>
      </c>
      <c r="O189" s="116">
        <v>13.27</v>
      </c>
      <c r="P189" s="116">
        <v>1.06</v>
      </c>
      <c r="Q189" s="116">
        <v>14.1</v>
      </c>
      <c r="R189" s="116">
        <v>13.65</v>
      </c>
      <c r="S189" s="116">
        <v>1.00050788</v>
      </c>
    </row>
    <row r="190" spans="4:19" x14ac:dyDescent="0.3">
      <c r="J190" s="111"/>
      <c r="K190" s="111"/>
      <c r="M190" s="115">
        <v>42767</v>
      </c>
      <c r="N190" s="116">
        <v>0.93089999999999995</v>
      </c>
      <c r="O190" s="116">
        <v>12.84</v>
      </c>
      <c r="P190" s="116">
        <v>2</v>
      </c>
      <c r="Q190" s="116">
        <v>13.99</v>
      </c>
      <c r="R190" s="116">
        <v>12.9</v>
      </c>
      <c r="S190" s="116">
        <v>1.0004815899999999</v>
      </c>
    </row>
    <row r="191" spans="4:19" x14ac:dyDescent="0.3">
      <c r="D191" s="110"/>
      <c r="J191" s="111"/>
      <c r="K191" s="111"/>
      <c r="M191" s="115">
        <v>42795</v>
      </c>
      <c r="N191" s="116">
        <v>0.98629999999999995</v>
      </c>
      <c r="O191" s="116">
        <v>12.25</v>
      </c>
      <c r="P191" s="116">
        <v>3.01</v>
      </c>
      <c r="Q191" s="116">
        <v>13.78</v>
      </c>
      <c r="R191" s="116">
        <v>12.15</v>
      </c>
      <c r="S191" s="116">
        <v>1.00045513</v>
      </c>
    </row>
    <row r="192" spans="4:19" x14ac:dyDescent="0.3">
      <c r="J192" s="111"/>
      <c r="K192" s="111"/>
      <c r="M192" s="115">
        <v>42826</v>
      </c>
      <c r="N192" s="116">
        <v>0.90980000000000005</v>
      </c>
      <c r="O192" s="116">
        <v>11.65</v>
      </c>
      <c r="P192" s="116">
        <v>3.95</v>
      </c>
      <c r="Q192" s="116">
        <v>13.57</v>
      </c>
      <c r="R192" s="116">
        <v>12.15</v>
      </c>
      <c r="S192" s="116">
        <v>1.00045513</v>
      </c>
    </row>
    <row r="193" spans="3:19" x14ac:dyDescent="0.3">
      <c r="C193" s="287"/>
      <c r="J193" s="111"/>
      <c r="K193" s="111"/>
      <c r="M193" s="115">
        <v>42856</v>
      </c>
      <c r="N193" s="116">
        <v>0.90959999999999996</v>
      </c>
      <c r="O193" s="116">
        <v>11.25</v>
      </c>
      <c r="P193" s="116">
        <v>4.8899999999999997</v>
      </c>
      <c r="Q193" s="116">
        <v>13.32</v>
      </c>
      <c r="R193" s="116">
        <v>11.15</v>
      </c>
      <c r="S193" s="116">
        <v>1.00041957</v>
      </c>
    </row>
    <row r="194" spans="3:19" x14ac:dyDescent="0.3">
      <c r="C194" s="287"/>
      <c r="J194" s="111"/>
      <c r="K194" s="111"/>
      <c r="M194" s="115">
        <v>42887</v>
      </c>
      <c r="N194" s="116">
        <v>0.80530000000000002</v>
      </c>
      <c r="O194" s="116">
        <v>10.25</v>
      </c>
      <c r="P194" s="116">
        <v>5.74</v>
      </c>
      <c r="Q194" s="116">
        <v>12.99</v>
      </c>
      <c r="R194" s="116">
        <v>10.15</v>
      </c>
      <c r="S194" s="116">
        <v>1.0003837</v>
      </c>
    </row>
    <row r="195" spans="3:19" x14ac:dyDescent="0.3">
      <c r="C195" s="287"/>
      <c r="D195" s="110"/>
      <c r="J195" s="111"/>
      <c r="K195" s="111"/>
      <c r="M195" s="115">
        <v>42917</v>
      </c>
      <c r="N195" s="116">
        <v>0.8196</v>
      </c>
      <c r="O195" s="116">
        <v>10.09</v>
      </c>
      <c r="P195" s="116">
        <v>6.6</v>
      </c>
      <c r="Q195" s="116">
        <v>12.64</v>
      </c>
      <c r="R195" s="116">
        <v>10.15</v>
      </c>
      <c r="S195" s="116">
        <v>1.0003837</v>
      </c>
    </row>
    <row r="196" spans="3:19" x14ac:dyDescent="0.3">
      <c r="C196" s="287"/>
      <c r="J196" s="111"/>
      <c r="K196" s="111"/>
      <c r="M196" s="115">
        <v>42948</v>
      </c>
      <c r="N196" s="116">
        <v>0.75419999999999998</v>
      </c>
      <c r="O196" s="116">
        <v>9.25</v>
      </c>
      <c r="P196" s="116">
        <v>7.41</v>
      </c>
      <c r="Q196" s="116">
        <v>12.22</v>
      </c>
      <c r="R196" s="116">
        <v>9.15</v>
      </c>
      <c r="S196" s="116">
        <v>1.00034749</v>
      </c>
    </row>
    <row r="197" spans="3:19" x14ac:dyDescent="0.3">
      <c r="C197" s="287"/>
      <c r="J197" s="111"/>
      <c r="K197" s="111"/>
      <c r="M197" s="115">
        <v>42979</v>
      </c>
      <c r="N197" s="116">
        <v>0.64700000000000002</v>
      </c>
      <c r="O197" s="116">
        <v>8.16</v>
      </c>
      <c r="P197" s="116">
        <v>8.1</v>
      </c>
      <c r="Q197" s="116">
        <v>11.72</v>
      </c>
      <c r="R197" s="116">
        <v>9.15</v>
      </c>
      <c r="S197" s="116">
        <v>1.00034749</v>
      </c>
    </row>
    <row r="198" spans="3:19" x14ac:dyDescent="0.3">
      <c r="C198" s="287"/>
      <c r="D198" s="110"/>
      <c r="J198" s="111"/>
      <c r="K198" s="111"/>
      <c r="M198" s="115">
        <v>43009</v>
      </c>
      <c r="N198" s="116">
        <v>0.66400000000000003</v>
      </c>
      <c r="O198" s="116">
        <v>8.1</v>
      </c>
      <c r="P198" s="116">
        <v>8.82</v>
      </c>
      <c r="Q198" s="116">
        <v>11.2</v>
      </c>
      <c r="R198" s="116">
        <v>8.15</v>
      </c>
      <c r="S198" s="116">
        <v>1.00031096</v>
      </c>
    </row>
    <row r="199" spans="3:19" x14ac:dyDescent="0.3">
      <c r="C199" s="287"/>
      <c r="D199" s="110"/>
      <c r="J199" s="111"/>
      <c r="K199" s="111"/>
      <c r="M199" s="115">
        <v>43040</v>
      </c>
      <c r="N199" s="116">
        <v>0.59619999999999995</v>
      </c>
      <c r="O199" s="116">
        <v>7.5</v>
      </c>
      <c r="P199" s="116">
        <v>9.4700000000000006</v>
      </c>
      <c r="Q199" s="116">
        <v>10.67</v>
      </c>
      <c r="R199" s="116">
        <v>7.4</v>
      </c>
      <c r="S199" s="116">
        <v>1.00028333</v>
      </c>
    </row>
    <row r="200" spans="3:19" x14ac:dyDescent="0.3">
      <c r="C200" s="287"/>
      <c r="D200" s="110"/>
      <c r="J200" s="111"/>
      <c r="K200" s="111"/>
      <c r="M200" s="115">
        <v>43070</v>
      </c>
      <c r="N200" s="116">
        <v>0.58399999999999996</v>
      </c>
      <c r="O200" s="116">
        <v>7.1</v>
      </c>
      <c r="P200" s="116">
        <v>10.11</v>
      </c>
      <c r="Q200" s="116">
        <v>10.11</v>
      </c>
      <c r="R200" s="116">
        <v>7.4</v>
      </c>
      <c r="S200" s="116">
        <v>1.00028333</v>
      </c>
    </row>
    <row r="201" spans="3:19" x14ac:dyDescent="0.3">
      <c r="C201" s="287"/>
      <c r="D201" s="110"/>
      <c r="J201" s="111"/>
      <c r="K201" s="111"/>
      <c r="M201" s="115">
        <v>43435</v>
      </c>
      <c r="P201" s="325">
        <v>6.4</v>
      </c>
    </row>
    <row r="202" spans="3:19" x14ac:dyDescent="0.3">
      <c r="C202" s="287"/>
      <c r="D202" s="110"/>
      <c r="J202" s="111"/>
      <c r="K202" s="111"/>
    </row>
    <row r="203" spans="3:19" x14ac:dyDescent="0.3">
      <c r="C203" s="287"/>
      <c r="D203" s="110"/>
      <c r="J203" s="111"/>
      <c r="K203" s="111"/>
    </row>
    <row r="204" spans="3:19" x14ac:dyDescent="0.3">
      <c r="C204" s="287"/>
      <c r="D204" s="110"/>
      <c r="J204" s="111"/>
      <c r="K204" s="111"/>
    </row>
    <row r="205" spans="3:19" x14ac:dyDescent="0.3">
      <c r="C205" s="287"/>
      <c r="D205" s="110"/>
      <c r="J205" s="111"/>
      <c r="K205" s="111"/>
    </row>
    <row r="206" spans="3:19" x14ac:dyDescent="0.3">
      <c r="C206" s="287"/>
      <c r="D206" s="110"/>
      <c r="J206" s="111"/>
      <c r="K206" s="111"/>
    </row>
    <row r="207" spans="3:19" x14ac:dyDescent="0.3">
      <c r="C207" s="287"/>
      <c r="D207" s="110"/>
      <c r="J207" s="111"/>
      <c r="K207" s="111"/>
    </row>
    <row r="208" spans="3:19" x14ac:dyDescent="0.3">
      <c r="C208" s="287" t="s">
        <v>145</v>
      </c>
      <c r="D208" s="110"/>
      <c r="J208" s="111"/>
      <c r="K208" s="111"/>
    </row>
    <row r="209" spans="3:11" x14ac:dyDescent="0.3">
      <c r="C209" s="287" t="s">
        <v>146</v>
      </c>
      <c r="D209" s="4">
        <v>2002</v>
      </c>
      <c r="E209" t="e">
        <f t="shared" ref="E209:E223" si="1">C209/100</f>
        <v>#VALUE!</v>
      </c>
      <c r="J209" s="111"/>
      <c r="K209" s="111"/>
    </row>
    <row r="210" spans="3:11" x14ac:dyDescent="0.3">
      <c r="C210" s="287">
        <v>9.3000000000000007</v>
      </c>
      <c r="D210" s="4">
        <v>2003</v>
      </c>
      <c r="E210">
        <f t="shared" si="1"/>
        <v>9.3000000000000013E-2</v>
      </c>
      <c r="J210" s="111"/>
      <c r="K210" s="111"/>
    </row>
    <row r="211" spans="3:11" x14ac:dyDescent="0.3">
      <c r="C211" s="287">
        <v>7.6</v>
      </c>
      <c r="D211" s="4">
        <v>2004</v>
      </c>
      <c r="E211">
        <f t="shared" si="1"/>
        <v>7.5999999999999998E-2</v>
      </c>
      <c r="J211" s="111"/>
      <c r="K211" s="111"/>
    </row>
    <row r="212" spans="3:11" x14ac:dyDescent="0.3">
      <c r="C212" s="287">
        <v>5.69</v>
      </c>
      <c r="D212" s="4">
        <v>2005</v>
      </c>
      <c r="E212">
        <f t="shared" si="1"/>
        <v>5.6900000000000006E-2</v>
      </c>
      <c r="J212" s="111"/>
      <c r="K212" s="111"/>
    </row>
    <row r="213" spans="3:11" x14ac:dyDescent="0.3">
      <c r="C213" s="287">
        <v>3.14</v>
      </c>
      <c r="D213" s="4">
        <v>2006</v>
      </c>
      <c r="E213">
        <f t="shared" si="1"/>
        <v>3.1400000000000004E-2</v>
      </c>
      <c r="J213" s="111"/>
      <c r="K213" s="111"/>
    </row>
    <row r="214" spans="3:11" x14ac:dyDescent="0.3">
      <c r="C214" s="287">
        <v>4.46</v>
      </c>
      <c r="D214" s="4">
        <v>2007</v>
      </c>
      <c r="E214">
        <f t="shared" si="1"/>
        <v>4.4600000000000001E-2</v>
      </c>
      <c r="J214" s="111"/>
      <c r="K214" s="111"/>
    </row>
    <row r="215" spans="3:11" x14ac:dyDescent="0.3">
      <c r="C215" s="287">
        <v>5.9</v>
      </c>
      <c r="D215" s="4">
        <v>2008</v>
      </c>
      <c r="E215">
        <f t="shared" si="1"/>
        <v>5.9000000000000004E-2</v>
      </c>
      <c r="J215" s="111"/>
      <c r="K215" s="111"/>
    </row>
    <row r="216" spans="3:11" x14ac:dyDescent="0.3">
      <c r="C216" s="287">
        <v>4.3099999999999996</v>
      </c>
      <c r="D216" s="4">
        <v>2009</v>
      </c>
      <c r="E216">
        <f t="shared" si="1"/>
        <v>4.3099999999999999E-2</v>
      </c>
      <c r="J216" s="111"/>
      <c r="K216" s="111"/>
    </row>
    <row r="217" spans="3:11" x14ac:dyDescent="0.3">
      <c r="C217" s="287">
        <v>5.91</v>
      </c>
      <c r="D217" s="4">
        <v>2010</v>
      </c>
      <c r="E217">
        <f t="shared" si="1"/>
        <v>5.91E-2</v>
      </c>
      <c r="J217" s="111"/>
      <c r="K217" s="111"/>
    </row>
    <row r="218" spans="3:11" x14ac:dyDescent="0.3">
      <c r="C218" s="287">
        <v>6.5</v>
      </c>
      <c r="D218" s="4">
        <v>2011</v>
      </c>
      <c r="E218">
        <f t="shared" si="1"/>
        <v>6.5000000000000002E-2</v>
      </c>
      <c r="J218" s="111"/>
      <c r="K218" s="111"/>
    </row>
    <row r="219" spans="3:11" x14ac:dyDescent="0.3">
      <c r="C219" s="287">
        <v>5.84</v>
      </c>
      <c r="D219" s="4">
        <v>2012</v>
      </c>
      <c r="E219">
        <f t="shared" si="1"/>
        <v>5.8400000000000001E-2</v>
      </c>
      <c r="J219" s="111"/>
      <c r="K219" s="111"/>
    </row>
    <row r="220" spans="3:11" x14ac:dyDescent="0.3">
      <c r="C220" s="287">
        <v>5.91</v>
      </c>
      <c r="D220" s="4">
        <v>2013</v>
      </c>
      <c r="E220">
        <f t="shared" si="1"/>
        <v>5.91E-2</v>
      </c>
      <c r="J220" s="111"/>
      <c r="K220" s="111"/>
    </row>
    <row r="221" spans="3:11" x14ac:dyDescent="0.3">
      <c r="C221" s="287">
        <v>6.41</v>
      </c>
      <c r="D221" s="4">
        <v>2014</v>
      </c>
      <c r="E221">
        <f t="shared" si="1"/>
        <v>6.4100000000000004E-2</v>
      </c>
      <c r="J221" s="111"/>
      <c r="K221" s="111"/>
    </row>
    <row r="222" spans="3:11" x14ac:dyDescent="0.3">
      <c r="C222" s="287">
        <v>10.67</v>
      </c>
      <c r="D222" s="4">
        <v>2015</v>
      </c>
      <c r="E222">
        <f t="shared" si="1"/>
        <v>0.1067</v>
      </c>
      <c r="J222" s="111"/>
      <c r="K222" s="111"/>
    </row>
    <row r="223" spans="3:11" x14ac:dyDescent="0.3">
      <c r="C223" s="287">
        <v>6.29</v>
      </c>
      <c r="D223" s="4">
        <v>2016</v>
      </c>
      <c r="E223">
        <f t="shared" si="1"/>
        <v>6.2899999999999998E-2</v>
      </c>
      <c r="J223" s="111"/>
      <c r="K223" s="111"/>
    </row>
    <row r="224" spans="3:11" x14ac:dyDescent="0.3">
      <c r="C224" s="287">
        <v>2.95</v>
      </c>
      <c r="D224" s="4">
        <v>2017</v>
      </c>
      <c r="E224">
        <f>C224/100</f>
        <v>2.9500000000000002E-2</v>
      </c>
      <c r="J224" s="111"/>
      <c r="K224" s="111"/>
    </row>
    <row r="225" spans="4:11" x14ac:dyDescent="0.3">
      <c r="D225" s="110"/>
      <c r="E225" t="s">
        <v>147</v>
      </c>
      <c r="J225" s="111"/>
      <c r="K225" s="111"/>
    </row>
    <row r="226" spans="4:11" x14ac:dyDescent="0.3">
      <c r="D226" s="110"/>
      <c r="J226" s="111"/>
      <c r="K226" s="111"/>
    </row>
    <row r="227" spans="4:11" x14ac:dyDescent="0.3">
      <c r="D227" s="110"/>
      <c r="J227" s="111"/>
      <c r="K227" s="111"/>
    </row>
    <row r="228" spans="4:11" x14ac:dyDescent="0.3">
      <c r="D228" s="110"/>
      <c r="J228" s="111"/>
      <c r="K228" s="111"/>
    </row>
    <row r="229" spans="4:11" x14ac:dyDescent="0.3">
      <c r="D229" s="110"/>
      <c r="J229" s="111"/>
      <c r="K229" s="111"/>
    </row>
    <row r="230" spans="4:11" x14ac:dyDescent="0.3">
      <c r="D230" s="110"/>
      <c r="J230" s="111"/>
      <c r="K230" s="111"/>
    </row>
  </sheetData>
  <mergeCells count="8">
    <mergeCell ref="P6:P7"/>
    <mergeCell ref="Q6:Q7"/>
    <mergeCell ref="N8:Q8"/>
    <mergeCell ref="R8:S8"/>
    <mergeCell ref="C3:D3"/>
    <mergeCell ref="M4:S4"/>
    <mergeCell ref="N5:S5"/>
    <mergeCell ref="M6:M8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>
    <tabColor theme="8" tint="0.59999389629810485"/>
  </sheetPr>
  <dimension ref="B1:N9"/>
  <sheetViews>
    <sheetView zoomScale="85" zoomScaleNormal="85" workbookViewId="0">
      <selection activeCell="I8" sqref="I8"/>
    </sheetView>
  </sheetViews>
  <sheetFormatPr defaultRowHeight="14.4" x14ac:dyDescent="0.3"/>
  <cols>
    <col min="2" max="2" width="6.33203125" bestFit="1" customWidth="1"/>
    <col min="3" max="3" width="5" bestFit="1" customWidth="1"/>
    <col min="4" max="4" width="13.88671875" bestFit="1" customWidth="1"/>
    <col min="5" max="5" width="23.5546875" bestFit="1" customWidth="1"/>
    <col min="6" max="6" width="8.109375" bestFit="1" customWidth="1"/>
    <col min="7" max="7" width="16.44140625" bestFit="1" customWidth="1"/>
    <col min="8" max="8" width="14.33203125" bestFit="1" customWidth="1"/>
    <col min="9" max="9" width="32.44140625" bestFit="1" customWidth="1"/>
    <col min="10" max="10" width="18.33203125" bestFit="1" customWidth="1"/>
    <col min="11" max="11" width="30.88671875" bestFit="1" customWidth="1"/>
    <col min="12" max="12" width="32.44140625" bestFit="1" customWidth="1"/>
    <col min="13" max="13" width="24.5546875" bestFit="1" customWidth="1"/>
  </cols>
  <sheetData>
    <row r="1" spans="2:14" ht="15" thickBot="1" x14ac:dyDescent="0.35"/>
    <row r="2" spans="2:14" ht="15" thickBot="1" x14ac:dyDescent="0.35">
      <c r="B2" s="88" t="s">
        <v>0</v>
      </c>
      <c r="C2" s="89" t="s">
        <v>1</v>
      </c>
      <c r="D2" s="90" t="s">
        <v>2</v>
      </c>
      <c r="E2" s="91" t="s">
        <v>148</v>
      </c>
      <c r="F2" s="92" t="s">
        <v>3</v>
      </c>
      <c r="G2" s="90" t="s">
        <v>5</v>
      </c>
      <c r="H2" s="90" t="s">
        <v>6</v>
      </c>
      <c r="I2" s="90" t="s">
        <v>10</v>
      </c>
      <c r="J2" s="90" t="s">
        <v>11</v>
      </c>
      <c r="K2" s="89" t="s">
        <v>16</v>
      </c>
      <c r="L2" s="89" t="s">
        <v>13</v>
      </c>
      <c r="M2" s="93" t="s">
        <v>14</v>
      </c>
    </row>
    <row r="3" spans="2:14" x14ac:dyDescent="0.3">
      <c r="B3" s="80" t="s">
        <v>26</v>
      </c>
      <c r="C3" s="81">
        <v>2011</v>
      </c>
      <c r="D3" s="82">
        <v>27460444</v>
      </c>
      <c r="E3" s="83" t="s">
        <v>24</v>
      </c>
      <c r="F3" s="84">
        <v>1</v>
      </c>
      <c r="G3" s="85">
        <v>516494023</v>
      </c>
      <c r="H3" s="82">
        <v>7284458</v>
      </c>
      <c r="I3" s="82">
        <v>-39893</v>
      </c>
      <c r="J3" s="82">
        <v>7244565</v>
      </c>
      <c r="K3" s="82">
        <v>91620325</v>
      </c>
      <c r="L3" s="86">
        <v>1915623</v>
      </c>
      <c r="M3" s="87">
        <v>852865</v>
      </c>
    </row>
    <row r="4" spans="2:14" x14ac:dyDescent="0.3">
      <c r="B4" s="70" t="s">
        <v>26</v>
      </c>
      <c r="C4" s="3">
        <v>2012</v>
      </c>
      <c r="D4" s="42">
        <v>23172476</v>
      </c>
      <c r="E4" s="52" t="s">
        <v>24</v>
      </c>
      <c r="F4" s="23">
        <v>1</v>
      </c>
      <c r="G4" s="43">
        <v>709901627</v>
      </c>
      <c r="H4" s="42">
        <v>4628214</v>
      </c>
      <c r="I4" s="42">
        <v>-1634419</v>
      </c>
      <c r="J4" s="42">
        <v>3098769</v>
      </c>
      <c r="K4" s="42">
        <v>123737439</v>
      </c>
      <c r="L4" s="44">
        <v>4082222</v>
      </c>
      <c r="M4" s="71">
        <v>1106451</v>
      </c>
    </row>
    <row r="5" spans="2:14" x14ac:dyDescent="0.3">
      <c r="B5" s="70" t="s">
        <v>26</v>
      </c>
      <c r="C5" s="3">
        <v>2013</v>
      </c>
      <c r="D5" s="42">
        <v>60464875</v>
      </c>
      <c r="E5" s="52" t="s">
        <v>24</v>
      </c>
      <c r="F5" s="23">
        <v>1</v>
      </c>
      <c r="G5" s="43">
        <v>865439262</v>
      </c>
      <c r="H5" s="42">
        <v>5551400</v>
      </c>
      <c r="I5" s="42">
        <v>719777</v>
      </c>
      <c r="J5" s="42">
        <v>6271177</v>
      </c>
      <c r="K5" s="42">
        <v>158322179</v>
      </c>
      <c r="L5" s="44">
        <v>2881228</v>
      </c>
      <c r="M5" s="71">
        <v>1216535</v>
      </c>
    </row>
    <row r="6" spans="2:14" x14ac:dyDescent="0.3">
      <c r="B6" s="70" t="s">
        <v>26</v>
      </c>
      <c r="C6" s="3">
        <v>2014</v>
      </c>
      <c r="D6" s="42">
        <v>57894942</v>
      </c>
      <c r="E6" s="52" t="s">
        <v>24</v>
      </c>
      <c r="F6" s="23">
        <v>1</v>
      </c>
      <c r="G6" s="43">
        <v>1072039414</v>
      </c>
      <c r="H6" s="42">
        <v>6479537</v>
      </c>
      <c r="I6" s="42">
        <v>-3136762</v>
      </c>
      <c r="J6" s="42">
        <v>3342775</v>
      </c>
      <c r="K6" s="42">
        <v>177431597</v>
      </c>
      <c r="L6" s="44">
        <v>1692379</v>
      </c>
      <c r="M6" s="71">
        <v>1298566</v>
      </c>
    </row>
    <row r="7" spans="2:14" x14ac:dyDescent="0.3">
      <c r="B7" s="70" t="s">
        <v>26</v>
      </c>
      <c r="C7" s="3">
        <v>2015</v>
      </c>
      <c r="D7" s="42">
        <v>57889738</v>
      </c>
      <c r="E7" s="52" t="s">
        <v>24</v>
      </c>
      <c r="F7" s="23">
        <v>1</v>
      </c>
      <c r="G7" s="43">
        <v>1210376032</v>
      </c>
      <c r="H7" s="42">
        <v>7821032</v>
      </c>
      <c r="I7" s="42">
        <v>-1994073</v>
      </c>
      <c r="J7" s="42">
        <v>5826959</v>
      </c>
      <c r="K7" s="42">
        <v>207682167</v>
      </c>
      <c r="L7" s="44" t="s">
        <v>24</v>
      </c>
      <c r="M7" s="71">
        <v>1757678</v>
      </c>
      <c r="N7" t="s">
        <v>149</v>
      </c>
    </row>
    <row r="8" spans="2:14" x14ac:dyDescent="0.3">
      <c r="B8" s="70" t="s">
        <v>26</v>
      </c>
      <c r="C8" s="3">
        <v>2016</v>
      </c>
      <c r="D8" s="42">
        <v>61748784</v>
      </c>
      <c r="E8" s="52" t="s">
        <v>24</v>
      </c>
      <c r="F8" s="23">
        <v>1</v>
      </c>
      <c r="G8" s="43">
        <v>1266245277</v>
      </c>
      <c r="H8" s="42">
        <v>7066059</v>
      </c>
      <c r="I8" s="42">
        <v>-2003436</v>
      </c>
      <c r="J8" s="42">
        <v>5062623</v>
      </c>
      <c r="K8" s="42">
        <v>238966421</v>
      </c>
      <c r="L8" s="44" t="s">
        <v>24</v>
      </c>
      <c r="M8" s="71">
        <v>681562</v>
      </c>
    </row>
    <row r="9" spans="2:14" ht="15" thickBot="1" x14ac:dyDescent="0.35">
      <c r="B9" s="72" t="s">
        <v>26</v>
      </c>
      <c r="C9" s="73">
        <v>2017</v>
      </c>
      <c r="D9" s="74">
        <v>76711148</v>
      </c>
      <c r="E9" s="79" t="s">
        <v>24</v>
      </c>
      <c r="F9" s="75">
        <v>1</v>
      </c>
      <c r="G9" s="76">
        <v>1276077849</v>
      </c>
      <c r="H9" s="74">
        <v>20251123</v>
      </c>
      <c r="I9" s="74">
        <v>-2387222</v>
      </c>
      <c r="J9" s="74">
        <v>17863901</v>
      </c>
      <c r="K9" s="74">
        <v>269553942</v>
      </c>
      <c r="L9" s="77" t="s">
        <v>24</v>
      </c>
      <c r="M9" s="78">
        <v>2294881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B3:G44"/>
  <sheetViews>
    <sheetView topLeftCell="A17" workbookViewId="0">
      <selection activeCell="B32" sqref="B32:G37"/>
    </sheetView>
  </sheetViews>
  <sheetFormatPr defaultRowHeight="14.4" x14ac:dyDescent="0.3"/>
  <cols>
    <col min="2" max="2" width="22" style="158" bestFit="1" customWidth="1"/>
    <col min="3" max="3" width="23.5546875" style="158" bestFit="1" customWidth="1"/>
    <col min="4" max="4" width="18.5546875" style="158" bestFit="1" customWidth="1"/>
    <col min="5" max="5" width="9.109375" style="158"/>
    <col min="6" max="6" width="11.6640625" style="158" customWidth="1"/>
    <col min="7" max="7" width="10.109375" style="158" bestFit="1" customWidth="1"/>
  </cols>
  <sheetData>
    <row r="3" spans="2:7" x14ac:dyDescent="0.3">
      <c r="B3" s="158" t="s">
        <v>31</v>
      </c>
    </row>
    <row r="4" spans="2:7" x14ac:dyDescent="0.3">
      <c r="B4" s="158">
        <v>2017</v>
      </c>
    </row>
    <row r="5" spans="2:7" x14ac:dyDescent="0.3">
      <c r="B5" s="159"/>
      <c r="C5" s="160"/>
      <c r="D5" s="159"/>
      <c r="E5" s="161" t="s">
        <v>150</v>
      </c>
      <c r="F5" s="160"/>
      <c r="G5" s="162"/>
    </row>
    <row r="6" spans="2:7" ht="15" thickBot="1" x14ac:dyDescent="0.35">
      <c r="B6" s="163" t="s">
        <v>151</v>
      </c>
      <c r="C6" s="163" t="s">
        <v>152</v>
      </c>
      <c r="D6" s="164">
        <v>2016</v>
      </c>
      <c r="E6" s="163" t="s">
        <v>153</v>
      </c>
      <c r="F6" s="163" t="s">
        <v>154</v>
      </c>
      <c r="G6" s="165">
        <v>2017</v>
      </c>
    </row>
    <row r="7" spans="2:7" ht="15.6" thickTop="1" thickBot="1" x14ac:dyDescent="0.35">
      <c r="B7" s="166" t="s">
        <v>155</v>
      </c>
      <c r="C7" s="166" t="s">
        <v>63</v>
      </c>
      <c r="D7" s="167">
        <v>15300282</v>
      </c>
      <c r="E7" s="167">
        <v>301131</v>
      </c>
      <c r="F7" s="167">
        <v>-360147</v>
      </c>
      <c r="G7" s="168">
        <v>15241266</v>
      </c>
    </row>
    <row r="8" spans="2:7" ht="15.6" thickTop="1" thickBot="1" x14ac:dyDescent="0.35">
      <c r="B8" s="169" t="s">
        <v>155</v>
      </c>
      <c r="C8" s="169" t="s">
        <v>156</v>
      </c>
      <c r="D8" s="170">
        <v>8906558</v>
      </c>
      <c r="E8" s="170">
        <v>175293</v>
      </c>
      <c r="F8" s="170">
        <v>-209647</v>
      </c>
      <c r="G8" s="171">
        <v>8872204</v>
      </c>
    </row>
    <row r="9" spans="2:7" ht="15.6" thickTop="1" thickBot="1" x14ac:dyDescent="0.35">
      <c r="B9" s="166" t="s">
        <v>155</v>
      </c>
      <c r="C9" s="166" t="s">
        <v>157</v>
      </c>
      <c r="D9" s="167">
        <v>6943488</v>
      </c>
      <c r="E9" s="167">
        <v>136658</v>
      </c>
      <c r="F9" s="167">
        <v>-163440</v>
      </c>
      <c r="G9" s="168">
        <v>6916706</v>
      </c>
    </row>
    <row r="10" spans="2:7" ht="15.6" thickTop="1" thickBot="1" x14ac:dyDescent="0.35">
      <c r="B10" s="169" t="s">
        <v>155</v>
      </c>
      <c r="C10" s="169" t="s">
        <v>65</v>
      </c>
      <c r="D10" s="170">
        <v>5100094</v>
      </c>
      <c r="E10" s="170">
        <v>100377</v>
      </c>
      <c r="F10" s="170">
        <v>-120049</v>
      </c>
      <c r="G10" s="171">
        <v>5080422</v>
      </c>
    </row>
    <row r="11" spans="2:7" ht="15.6" thickTop="1" thickBot="1" x14ac:dyDescent="0.35">
      <c r="B11" s="172" t="s">
        <v>158</v>
      </c>
      <c r="C11" s="173"/>
      <c r="D11" s="174">
        <v>36250422</v>
      </c>
      <c r="E11" s="174">
        <v>713459</v>
      </c>
      <c r="F11" s="174">
        <v>-853283</v>
      </c>
      <c r="G11" s="175">
        <v>36110598</v>
      </c>
    </row>
    <row r="12" spans="2:7" ht="15.6" thickTop="1" thickBot="1" x14ac:dyDescent="0.35">
      <c r="B12" s="169" t="s">
        <v>159</v>
      </c>
      <c r="C12" s="176"/>
      <c r="D12" s="177" t="s">
        <v>24</v>
      </c>
      <c r="E12" s="176"/>
      <c r="F12" s="176"/>
      <c r="G12" s="178" t="s">
        <v>24</v>
      </c>
    </row>
    <row r="13" spans="2:7" ht="15" thickTop="1" x14ac:dyDescent="0.3">
      <c r="B13" s="179" t="s">
        <v>160</v>
      </c>
      <c r="C13" s="180"/>
      <c r="D13" s="181">
        <v>36250422</v>
      </c>
      <c r="E13" s="180"/>
      <c r="F13" s="180"/>
      <c r="G13" s="182">
        <v>36110598</v>
      </c>
    </row>
    <row r="14" spans="2:7" x14ac:dyDescent="0.3">
      <c r="B14" s="158">
        <v>2016</v>
      </c>
    </row>
    <row r="15" spans="2:7" ht="21.75" customHeight="1" x14ac:dyDescent="0.3">
      <c r="B15" s="184"/>
      <c r="C15" s="358" t="s">
        <v>152</v>
      </c>
      <c r="D15" s="184"/>
      <c r="E15" s="360" t="s">
        <v>161</v>
      </c>
      <c r="F15" s="358" t="s">
        <v>154</v>
      </c>
      <c r="G15" s="185"/>
    </row>
    <row r="16" spans="2:7" ht="15" thickBot="1" x14ac:dyDescent="0.35">
      <c r="B16" s="186" t="s">
        <v>151</v>
      </c>
      <c r="C16" s="359"/>
      <c r="D16" s="187" t="s">
        <v>162</v>
      </c>
      <c r="E16" s="361"/>
      <c r="F16" s="359"/>
      <c r="G16" s="188" t="s">
        <v>163</v>
      </c>
    </row>
    <row r="17" spans="2:7" ht="15" thickBot="1" x14ac:dyDescent="0.35">
      <c r="B17" s="189" t="s">
        <v>164</v>
      </c>
      <c r="C17" s="189" t="s">
        <v>63</v>
      </c>
      <c r="D17" s="190">
        <v>15453272</v>
      </c>
      <c r="E17" s="190">
        <v>228139</v>
      </c>
      <c r="F17" s="190">
        <v>-381129</v>
      </c>
      <c r="G17" s="191">
        <v>15300282</v>
      </c>
    </row>
    <row r="18" spans="2:7" ht="15.6" thickTop="1" thickBot="1" x14ac:dyDescent="0.35">
      <c r="B18" s="192" t="s">
        <v>164</v>
      </c>
      <c r="C18" s="192" t="s">
        <v>156</v>
      </c>
      <c r="D18" s="193">
        <v>8995617</v>
      </c>
      <c r="E18" s="193">
        <v>132803</v>
      </c>
      <c r="F18" s="193">
        <v>-221862</v>
      </c>
      <c r="G18" s="194">
        <v>8906558</v>
      </c>
    </row>
    <row r="19" spans="2:7" ht="15" thickBot="1" x14ac:dyDescent="0.35">
      <c r="B19" s="189" t="s">
        <v>164</v>
      </c>
      <c r="C19" s="189" t="s">
        <v>157</v>
      </c>
      <c r="D19" s="190">
        <v>7012918</v>
      </c>
      <c r="E19" s="190">
        <v>103532</v>
      </c>
      <c r="F19" s="190">
        <v>-172962</v>
      </c>
      <c r="G19" s="191">
        <v>6943488</v>
      </c>
    </row>
    <row r="20" spans="2:7" ht="15.6" thickTop="1" thickBot="1" x14ac:dyDescent="0.35">
      <c r="B20" s="192" t="s">
        <v>164</v>
      </c>
      <c r="C20" s="192" t="s">
        <v>65</v>
      </c>
      <c r="D20" s="193">
        <v>5151091</v>
      </c>
      <c r="E20" s="193">
        <v>76046</v>
      </c>
      <c r="F20" s="193">
        <v>-127043</v>
      </c>
      <c r="G20" s="194">
        <v>5100094</v>
      </c>
    </row>
    <row r="21" spans="2:7" ht="15" thickBot="1" x14ac:dyDescent="0.35">
      <c r="B21" s="195" t="s">
        <v>158</v>
      </c>
      <c r="C21" s="196"/>
      <c r="D21" s="197">
        <v>36612898</v>
      </c>
      <c r="E21" s="197">
        <v>540520</v>
      </c>
      <c r="F21" s="197">
        <v>-902996</v>
      </c>
      <c r="G21" s="198">
        <v>36250422</v>
      </c>
    </row>
    <row r="22" spans="2:7" ht="15" thickBot="1" x14ac:dyDescent="0.35">
      <c r="B22" s="199" t="s">
        <v>165</v>
      </c>
      <c r="C22" s="200"/>
      <c r="D22" s="201" t="s">
        <v>24</v>
      </c>
      <c r="E22" s="200"/>
      <c r="F22" s="200"/>
      <c r="G22" s="202" t="s">
        <v>24</v>
      </c>
    </row>
    <row r="23" spans="2:7" ht="15" thickTop="1" x14ac:dyDescent="0.3">
      <c r="B23" s="203" t="s">
        <v>166</v>
      </c>
      <c r="C23" s="204"/>
      <c r="D23" s="205">
        <v>36612898</v>
      </c>
      <c r="E23" s="204"/>
      <c r="F23" s="204"/>
      <c r="G23" s="206">
        <v>36250422</v>
      </c>
    </row>
    <row r="24" spans="2:7" x14ac:dyDescent="0.3">
      <c r="B24" s="158">
        <v>2015</v>
      </c>
    </row>
    <row r="25" spans="2:7" x14ac:dyDescent="0.3">
      <c r="B25" s="184"/>
      <c r="C25" s="358" t="s">
        <v>152</v>
      </c>
      <c r="D25" s="184"/>
      <c r="E25" s="360" t="s">
        <v>161</v>
      </c>
      <c r="F25" s="358" t="s">
        <v>154</v>
      </c>
      <c r="G25" s="185"/>
    </row>
    <row r="26" spans="2:7" ht="15" thickBot="1" x14ac:dyDescent="0.35">
      <c r="B26" s="186" t="s">
        <v>151</v>
      </c>
      <c r="C26" s="359"/>
      <c r="D26" s="187" t="s">
        <v>167</v>
      </c>
      <c r="E26" s="361"/>
      <c r="F26" s="359"/>
      <c r="G26" s="188" t="s">
        <v>162</v>
      </c>
    </row>
    <row r="27" spans="2:7" x14ac:dyDescent="0.3">
      <c r="B27" s="158" t="s">
        <v>164</v>
      </c>
      <c r="C27" s="158" t="s">
        <v>156</v>
      </c>
      <c r="D27" s="207">
        <v>8731760</v>
      </c>
      <c r="E27" s="207">
        <v>521686</v>
      </c>
      <c r="F27" s="36">
        <v>-257828</v>
      </c>
      <c r="G27" s="36">
        <v>8995617</v>
      </c>
    </row>
    <row r="28" spans="2:7" x14ac:dyDescent="0.3">
      <c r="B28" s="158" t="s">
        <v>164</v>
      </c>
      <c r="C28" s="158" t="s">
        <v>157</v>
      </c>
      <c r="D28" s="207">
        <v>6807216</v>
      </c>
      <c r="E28" s="207">
        <v>406702</v>
      </c>
      <c r="F28" s="36">
        <v>-201001</v>
      </c>
      <c r="G28" s="36">
        <v>7012918</v>
      </c>
    </row>
    <row r="29" spans="2:7" x14ac:dyDescent="0.3">
      <c r="B29" s="158" t="s">
        <v>164</v>
      </c>
      <c r="C29" s="158" t="s">
        <v>65</v>
      </c>
      <c r="D29" s="207">
        <v>5000000</v>
      </c>
      <c r="E29" s="207">
        <v>155794</v>
      </c>
      <c r="F29" s="36">
        <v>-4703</v>
      </c>
      <c r="G29" s="36">
        <v>5151091</v>
      </c>
    </row>
    <row r="30" spans="2:7" x14ac:dyDescent="0.3">
      <c r="B30" s="158" t="s">
        <v>158</v>
      </c>
      <c r="D30" s="207">
        <v>35538976</v>
      </c>
      <c r="E30" s="207">
        <v>2111054</v>
      </c>
      <c r="F30" s="36">
        <v>-1037132</v>
      </c>
      <c r="G30" s="36">
        <v>36612898</v>
      </c>
    </row>
    <row r="31" spans="2:7" x14ac:dyDescent="0.3">
      <c r="B31" s="158">
        <v>2014</v>
      </c>
    </row>
    <row r="32" spans="2:7" x14ac:dyDescent="0.3">
      <c r="C32" s="183"/>
    </row>
    <row r="35" spans="6:7" x14ac:dyDescent="0.3">
      <c r="F35" s="207"/>
    </row>
    <row r="36" spans="6:7" x14ac:dyDescent="0.3">
      <c r="F36" s="207"/>
    </row>
    <row r="37" spans="6:7" x14ac:dyDescent="0.3">
      <c r="F37" s="207"/>
      <c r="G37"/>
    </row>
    <row r="43" spans="6:7" x14ac:dyDescent="0.3">
      <c r="G43"/>
    </row>
    <row r="44" spans="6:7" x14ac:dyDescent="0.3">
      <c r="G44"/>
    </row>
  </sheetData>
  <mergeCells count="6">
    <mergeCell ref="C15:C16"/>
    <mergeCell ref="E15:E16"/>
    <mergeCell ref="F15:F16"/>
    <mergeCell ref="C25:C26"/>
    <mergeCell ref="E25:E26"/>
    <mergeCell ref="F25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>
    <tabColor rgb="FFFFC000"/>
  </sheetPr>
  <dimension ref="B2:L491"/>
  <sheetViews>
    <sheetView topLeftCell="A449" zoomScale="70" zoomScaleNormal="70" workbookViewId="0">
      <selection activeCell="C166" sqref="C166:C171"/>
    </sheetView>
  </sheetViews>
  <sheetFormatPr defaultRowHeight="14.4" x14ac:dyDescent="0.3"/>
  <cols>
    <col min="2" max="2" width="32.88671875" style="2" customWidth="1"/>
    <col min="3" max="3" width="11" style="2" bestFit="1" customWidth="1"/>
    <col min="4" max="4" width="33.33203125" style="2" customWidth="1"/>
    <col min="5" max="5" width="42.44140625" style="2" bestFit="1" customWidth="1"/>
    <col min="6" max="6" width="24.88671875" style="25" bestFit="1" customWidth="1"/>
    <col min="7" max="7" width="15" bestFit="1" customWidth="1"/>
    <col min="8" max="8" width="22" bestFit="1" customWidth="1"/>
  </cols>
  <sheetData>
    <row r="2" spans="2:6" ht="15" thickBot="1" x14ac:dyDescent="0.35">
      <c r="B2" s="5" t="s">
        <v>168</v>
      </c>
      <c r="C2" s="287"/>
      <c r="D2" s="287"/>
      <c r="E2" s="287"/>
    </row>
    <row r="3" spans="2:6" ht="15" thickBot="1" x14ac:dyDescent="0.35">
      <c r="B3" s="6" t="s">
        <v>169</v>
      </c>
      <c r="C3" s="9" t="s">
        <v>40</v>
      </c>
      <c r="D3" s="9" t="s">
        <v>170</v>
      </c>
      <c r="E3" s="9" t="s">
        <v>171</v>
      </c>
      <c r="F3" s="26" t="s">
        <v>172</v>
      </c>
    </row>
    <row r="4" spans="2:6" x14ac:dyDescent="0.3">
      <c r="B4" s="53" t="s">
        <v>31</v>
      </c>
      <c r="C4" s="54"/>
      <c r="D4" s="55"/>
      <c r="E4" s="56"/>
      <c r="F4" s="57"/>
    </row>
    <row r="5" spans="2:6" x14ac:dyDescent="0.3">
      <c r="B5" s="53" t="s">
        <v>31</v>
      </c>
      <c r="C5" s="54">
        <v>2002</v>
      </c>
      <c r="D5" s="55" t="s">
        <v>173</v>
      </c>
      <c r="E5" s="56" t="s">
        <v>24</v>
      </c>
      <c r="F5" s="57">
        <v>126</v>
      </c>
    </row>
    <row r="6" spans="2:6" x14ac:dyDescent="0.3">
      <c r="B6" s="53" t="s">
        <v>31</v>
      </c>
      <c r="C6" s="54">
        <v>2002</v>
      </c>
      <c r="D6" s="55" t="s">
        <v>173</v>
      </c>
      <c r="E6" s="56" t="s">
        <v>174</v>
      </c>
      <c r="F6" s="57">
        <v>5442040</v>
      </c>
    </row>
    <row r="7" spans="2:6" x14ac:dyDescent="0.3">
      <c r="B7" s="53" t="s">
        <v>31</v>
      </c>
      <c r="C7" s="54">
        <v>2002</v>
      </c>
      <c r="D7" s="55" t="s">
        <v>173</v>
      </c>
      <c r="E7" s="56" t="s">
        <v>82</v>
      </c>
      <c r="F7" s="57">
        <v>6150375</v>
      </c>
    </row>
    <row r="8" spans="2:6" x14ac:dyDescent="0.3">
      <c r="B8" s="53" t="s">
        <v>31</v>
      </c>
      <c r="C8" s="54">
        <v>2002</v>
      </c>
      <c r="D8" s="55" t="s">
        <v>173</v>
      </c>
      <c r="E8" s="56" t="s">
        <v>82</v>
      </c>
      <c r="F8" s="57" t="s">
        <v>24</v>
      </c>
    </row>
    <row r="9" spans="2:6" x14ac:dyDescent="0.3">
      <c r="B9" s="53" t="s">
        <v>31</v>
      </c>
      <c r="C9" s="54">
        <v>2002</v>
      </c>
      <c r="D9" s="55" t="s">
        <v>173</v>
      </c>
      <c r="E9" s="56" t="s">
        <v>175</v>
      </c>
      <c r="F9" s="57">
        <v>859109</v>
      </c>
    </row>
    <row r="10" spans="2:6" x14ac:dyDescent="0.3">
      <c r="B10" s="53" t="s">
        <v>31</v>
      </c>
      <c r="C10" s="54">
        <v>2002</v>
      </c>
      <c r="D10" s="55" t="s">
        <v>173</v>
      </c>
      <c r="E10" s="56" t="s">
        <v>24</v>
      </c>
      <c r="F10" s="57">
        <v>57241</v>
      </c>
    </row>
    <row r="11" spans="2:6" x14ac:dyDescent="0.3">
      <c r="B11" s="53" t="s">
        <v>31</v>
      </c>
      <c r="C11" s="54">
        <v>2002</v>
      </c>
      <c r="D11" s="55" t="s">
        <v>173</v>
      </c>
      <c r="E11" s="56" t="s">
        <v>176</v>
      </c>
      <c r="F11" s="57" t="s">
        <v>24</v>
      </c>
    </row>
    <row r="12" spans="2:6" x14ac:dyDescent="0.3">
      <c r="B12" s="53" t="s">
        <v>31</v>
      </c>
      <c r="C12" s="54">
        <v>2002</v>
      </c>
      <c r="D12" s="55" t="s">
        <v>173</v>
      </c>
      <c r="E12" s="56" t="s">
        <v>82</v>
      </c>
      <c r="F12" s="57" t="s">
        <v>24</v>
      </c>
    </row>
    <row r="13" spans="2:6" x14ac:dyDescent="0.3">
      <c r="B13" s="53" t="s">
        <v>31</v>
      </c>
      <c r="C13" s="54">
        <v>2002</v>
      </c>
      <c r="D13" s="55" t="s">
        <v>173</v>
      </c>
      <c r="E13" s="56" t="s">
        <v>176</v>
      </c>
      <c r="F13" s="57" t="s">
        <v>24</v>
      </c>
    </row>
    <row r="14" spans="2:6" x14ac:dyDescent="0.3">
      <c r="B14" s="53" t="s">
        <v>31</v>
      </c>
      <c r="C14" s="54">
        <v>2003</v>
      </c>
      <c r="D14" s="55" t="s">
        <v>173</v>
      </c>
      <c r="E14" s="56" t="s">
        <v>24</v>
      </c>
      <c r="F14" s="57">
        <v>126</v>
      </c>
    </row>
    <row r="15" spans="2:6" x14ac:dyDescent="0.3">
      <c r="B15" s="53" t="s">
        <v>31</v>
      </c>
      <c r="C15" s="54">
        <v>2003</v>
      </c>
      <c r="D15" s="55" t="s">
        <v>173</v>
      </c>
      <c r="E15" s="56" t="s">
        <v>174</v>
      </c>
      <c r="F15" s="57">
        <v>6056595</v>
      </c>
    </row>
    <row r="16" spans="2:6" x14ac:dyDescent="0.3">
      <c r="B16" s="53" t="s">
        <v>31</v>
      </c>
      <c r="C16" s="54">
        <v>2003</v>
      </c>
      <c r="D16" s="55" t="s">
        <v>173</v>
      </c>
      <c r="E16" s="56" t="s">
        <v>82</v>
      </c>
      <c r="F16" s="57">
        <v>6707875</v>
      </c>
    </row>
    <row r="17" spans="2:6" x14ac:dyDescent="0.3">
      <c r="B17" s="53" t="s">
        <v>31</v>
      </c>
      <c r="C17" s="54">
        <v>2003</v>
      </c>
      <c r="D17" s="55" t="s">
        <v>173</v>
      </c>
      <c r="E17" s="56" t="s">
        <v>82</v>
      </c>
      <c r="F17" s="57">
        <v>449572</v>
      </c>
    </row>
    <row r="18" spans="2:6" x14ac:dyDescent="0.3">
      <c r="B18" s="53" t="s">
        <v>31</v>
      </c>
      <c r="C18" s="54">
        <v>2003</v>
      </c>
      <c r="D18" s="55" t="s">
        <v>173</v>
      </c>
      <c r="E18" s="56" t="s">
        <v>175</v>
      </c>
      <c r="F18" s="57">
        <v>944251</v>
      </c>
    </row>
    <row r="19" spans="2:6" x14ac:dyDescent="0.3">
      <c r="B19" s="53" t="s">
        <v>31</v>
      </c>
      <c r="C19" s="54">
        <v>2003</v>
      </c>
      <c r="D19" s="55" t="s">
        <v>173</v>
      </c>
      <c r="E19" s="56" t="s">
        <v>24</v>
      </c>
      <c r="F19" s="57">
        <v>28032</v>
      </c>
    </row>
    <row r="20" spans="2:6" x14ac:dyDescent="0.3">
      <c r="B20" s="53" t="s">
        <v>31</v>
      </c>
      <c r="C20" s="54">
        <v>2003</v>
      </c>
      <c r="D20" s="55" t="s">
        <v>173</v>
      </c>
      <c r="E20" s="56" t="s">
        <v>176</v>
      </c>
      <c r="F20" s="57" t="s">
        <v>24</v>
      </c>
    </row>
    <row r="21" spans="2:6" x14ac:dyDescent="0.3">
      <c r="B21" s="53" t="s">
        <v>31</v>
      </c>
      <c r="C21" s="54">
        <v>2003</v>
      </c>
      <c r="D21" s="55" t="s">
        <v>173</v>
      </c>
      <c r="E21" s="56" t="s">
        <v>82</v>
      </c>
      <c r="F21" s="57" t="s">
        <v>24</v>
      </c>
    </row>
    <row r="22" spans="2:6" x14ac:dyDescent="0.3">
      <c r="B22" s="53" t="s">
        <v>31</v>
      </c>
      <c r="C22" s="54">
        <v>2003</v>
      </c>
      <c r="D22" s="55" t="s">
        <v>173</v>
      </c>
      <c r="E22" s="56" t="s">
        <v>176</v>
      </c>
      <c r="F22" s="57" t="s">
        <v>24</v>
      </c>
    </row>
    <row r="23" spans="2:6" x14ac:dyDescent="0.3">
      <c r="B23" s="53" t="s">
        <v>31</v>
      </c>
      <c r="C23" s="54">
        <v>2004</v>
      </c>
      <c r="D23" s="55" t="s">
        <v>173</v>
      </c>
      <c r="E23" s="56"/>
      <c r="F23" s="57"/>
    </row>
    <row r="24" spans="2:6" x14ac:dyDescent="0.3">
      <c r="B24" s="53" t="s">
        <v>31</v>
      </c>
      <c r="C24" s="54">
        <v>2004</v>
      </c>
      <c r="D24" s="55" t="s">
        <v>173</v>
      </c>
      <c r="E24" s="56"/>
      <c r="F24" s="57"/>
    </row>
    <row r="25" spans="2:6" x14ac:dyDescent="0.3">
      <c r="B25" s="53" t="s">
        <v>31</v>
      </c>
      <c r="C25" s="54">
        <v>2004</v>
      </c>
      <c r="D25" s="55" t="s">
        <v>173</v>
      </c>
      <c r="E25" s="56"/>
      <c r="F25" s="57"/>
    </row>
    <row r="26" spans="2:6" x14ac:dyDescent="0.3">
      <c r="B26" s="53" t="s">
        <v>31</v>
      </c>
      <c r="C26" s="54">
        <v>2004</v>
      </c>
      <c r="D26" s="55" t="s">
        <v>173</v>
      </c>
      <c r="E26" s="56"/>
      <c r="F26" s="57"/>
    </row>
    <row r="27" spans="2:6" x14ac:dyDescent="0.3">
      <c r="B27" s="53" t="s">
        <v>31</v>
      </c>
      <c r="C27" s="54">
        <v>2004</v>
      </c>
      <c r="D27" s="55" t="s">
        <v>173</v>
      </c>
      <c r="E27" s="56"/>
      <c r="F27" s="57"/>
    </row>
    <row r="28" spans="2:6" x14ac:dyDescent="0.3">
      <c r="B28" s="53" t="s">
        <v>31</v>
      </c>
      <c r="C28" s="54">
        <v>2004</v>
      </c>
      <c r="D28" s="55" t="s">
        <v>173</v>
      </c>
      <c r="E28" s="56"/>
      <c r="F28" s="57"/>
    </row>
    <row r="29" spans="2:6" x14ac:dyDescent="0.3">
      <c r="B29" s="53" t="s">
        <v>31</v>
      </c>
      <c r="C29" s="54">
        <v>2004</v>
      </c>
      <c r="D29" s="55" t="s">
        <v>173</v>
      </c>
      <c r="E29" s="56"/>
      <c r="F29" s="57"/>
    </row>
    <row r="30" spans="2:6" x14ac:dyDescent="0.3">
      <c r="B30" s="53" t="s">
        <v>31</v>
      </c>
      <c r="C30" s="54">
        <v>2004</v>
      </c>
      <c r="D30" s="55" t="s">
        <v>173</v>
      </c>
      <c r="E30" s="56"/>
      <c r="F30" s="57"/>
    </row>
    <row r="31" spans="2:6" x14ac:dyDescent="0.3">
      <c r="B31" s="53" t="s">
        <v>31</v>
      </c>
      <c r="C31" s="54">
        <v>2004</v>
      </c>
      <c r="D31" s="55" t="s">
        <v>173</v>
      </c>
      <c r="E31" s="56"/>
      <c r="F31" s="57"/>
    </row>
    <row r="32" spans="2:6" x14ac:dyDescent="0.3">
      <c r="B32" s="53" t="s">
        <v>31</v>
      </c>
      <c r="C32" s="54">
        <v>2005</v>
      </c>
      <c r="D32" s="55" t="s">
        <v>173</v>
      </c>
      <c r="E32" s="56" t="s">
        <v>177</v>
      </c>
      <c r="F32" s="57">
        <v>6882703</v>
      </c>
    </row>
    <row r="33" spans="2:6" x14ac:dyDescent="0.3">
      <c r="B33" s="53" t="s">
        <v>31</v>
      </c>
      <c r="C33" s="54">
        <v>2005</v>
      </c>
      <c r="D33" s="55" t="s">
        <v>173</v>
      </c>
      <c r="E33" s="56" t="s">
        <v>82</v>
      </c>
      <c r="F33" s="57">
        <v>9182065</v>
      </c>
    </row>
    <row r="34" spans="2:6" x14ac:dyDescent="0.3">
      <c r="B34" s="53" t="s">
        <v>31</v>
      </c>
      <c r="C34" s="54">
        <v>2005</v>
      </c>
      <c r="D34" s="55" t="s">
        <v>173</v>
      </c>
      <c r="E34" s="56" t="s">
        <v>178</v>
      </c>
      <c r="F34" s="57">
        <v>559996</v>
      </c>
    </row>
    <row r="35" spans="2:6" x14ac:dyDescent="0.3">
      <c r="B35" s="53" t="s">
        <v>31</v>
      </c>
      <c r="C35" s="54">
        <v>2005</v>
      </c>
      <c r="D35" s="55" t="s">
        <v>173</v>
      </c>
      <c r="E35" s="56" t="s">
        <v>179</v>
      </c>
      <c r="F35" s="57">
        <v>1758877</v>
      </c>
    </row>
    <row r="36" spans="2:6" x14ac:dyDescent="0.3">
      <c r="B36" s="53" t="s">
        <v>31</v>
      </c>
      <c r="C36" s="54">
        <v>2005</v>
      </c>
      <c r="D36" s="55" t="s">
        <v>173</v>
      </c>
      <c r="E36" s="56" t="s">
        <v>180</v>
      </c>
      <c r="F36" s="57">
        <v>12975</v>
      </c>
    </row>
    <row r="37" spans="2:6" x14ac:dyDescent="0.3">
      <c r="B37" s="53" t="s">
        <v>31</v>
      </c>
      <c r="C37" s="54">
        <v>2005</v>
      </c>
      <c r="D37" s="55" t="s">
        <v>173</v>
      </c>
      <c r="E37" s="56" t="s">
        <v>181</v>
      </c>
      <c r="F37" s="57">
        <v>2152</v>
      </c>
    </row>
    <row r="38" spans="2:6" x14ac:dyDescent="0.3">
      <c r="B38" s="53" t="s">
        <v>31</v>
      </c>
      <c r="C38" s="54">
        <v>2005</v>
      </c>
      <c r="D38" s="55" t="s">
        <v>173</v>
      </c>
      <c r="E38" s="56" t="s">
        <v>175</v>
      </c>
      <c r="F38" s="57">
        <v>1077515</v>
      </c>
    </row>
    <row r="39" spans="2:6" x14ac:dyDescent="0.3">
      <c r="B39" s="53" t="s">
        <v>31</v>
      </c>
      <c r="C39" s="54">
        <v>2005</v>
      </c>
      <c r="D39" s="55" t="s">
        <v>173</v>
      </c>
      <c r="E39" s="56" t="s">
        <v>182</v>
      </c>
      <c r="F39" s="57">
        <v>126</v>
      </c>
    </row>
    <row r="40" spans="2:6" x14ac:dyDescent="0.3">
      <c r="B40" s="53" t="s">
        <v>31</v>
      </c>
      <c r="C40" s="54">
        <v>2005</v>
      </c>
      <c r="D40" s="55" t="s">
        <v>173</v>
      </c>
      <c r="E40" s="56" t="s">
        <v>183</v>
      </c>
      <c r="F40" s="57">
        <v>145629</v>
      </c>
    </row>
    <row r="41" spans="2:6" x14ac:dyDescent="0.3">
      <c r="B41" s="53" t="s">
        <v>31</v>
      </c>
      <c r="C41" s="54">
        <v>2006</v>
      </c>
      <c r="D41" s="55" t="s">
        <v>173</v>
      </c>
      <c r="E41" s="56" t="s">
        <v>177</v>
      </c>
      <c r="F41" s="57">
        <v>1513518</v>
      </c>
    </row>
    <row r="42" spans="2:6" x14ac:dyDescent="0.3">
      <c r="B42" s="53" t="s">
        <v>31</v>
      </c>
      <c r="C42" s="54">
        <v>2006</v>
      </c>
      <c r="D42" s="55" t="s">
        <v>173</v>
      </c>
      <c r="E42" s="56" t="s">
        <v>82</v>
      </c>
      <c r="F42" s="57">
        <v>4593183</v>
      </c>
    </row>
    <row r="43" spans="2:6" x14ac:dyDescent="0.3">
      <c r="B43" s="53" t="s">
        <v>31</v>
      </c>
      <c r="C43" s="54">
        <v>2006</v>
      </c>
      <c r="D43" s="55" t="s">
        <v>173</v>
      </c>
      <c r="E43" s="56" t="s">
        <v>178</v>
      </c>
      <c r="F43" s="57">
        <v>461739</v>
      </c>
    </row>
    <row r="44" spans="2:6" x14ac:dyDescent="0.3">
      <c r="B44" s="53" t="s">
        <v>31</v>
      </c>
      <c r="C44" s="54">
        <v>2006</v>
      </c>
      <c r="D44" s="55" t="s">
        <v>173</v>
      </c>
      <c r="E44" s="56" t="s">
        <v>179</v>
      </c>
      <c r="F44" s="57">
        <v>1820546</v>
      </c>
    </row>
    <row r="45" spans="2:6" x14ac:dyDescent="0.3">
      <c r="B45" s="53" t="s">
        <v>31</v>
      </c>
      <c r="C45" s="54">
        <v>2006</v>
      </c>
      <c r="D45" s="55" t="s">
        <v>173</v>
      </c>
      <c r="E45" s="56" t="s">
        <v>180</v>
      </c>
      <c r="F45" s="57">
        <v>10370</v>
      </c>
    </row>
    <row r="46" spans="2:6" x14ac:dyDescent="0.3">
      <c r="B46" s="53" t="s">
        <v>31</v>
      </c>
      <c r="C46" s="54">
        <v>2006</v>
      </c>
      <c r="D46" s="55" t="s">
        <v>173</v>
      </c>
      <c r="E46" s="56" t="s">
        <v>181</v>
      </c>
      <c r="F46" s="57" t="s">
        <v>24</v>
      </c>
    </row>
    <row r="47" spans="2:6" x14ac:dyDescent="0.3">
      <c r="B47" s="53" t="s">
        <v>31</v>
      </c>
      <c r="C47" s="54">
        <v>2006</v>
      </c>
      <c r="D47" s="55" t="s">
        <v>173</v>
      </c>
      <c r="E47" s="56" t="s">
        <v>175</v>
      </c>
      <c r="F47" s="57">
        <v>1116313</v>
      </c>
    </row>
    <row r="48" spans="2:6" x14ac:dyDescent="0.3">
      <c r="B48" s="53" t="s">
        <v>31</v>
      </c>
      <c r="C48" s="54">
        <v>2006</v>
      </c>
      <c r="D48" s="55" t="s">
        <v>173</v>
      </c>
      <c r="E48" s="56" t="s">
        <v>182</v>
      </c>
      <c r="F48" s="57">
        <v>1642</v>
      </c>
    </row>
    <row r="49" spans="2:6" x14ac:dyDescent="0.3">
      <c r="B49" s="53" t="s">
        <v>31</v>
      </c>
      <c r="C49" s="54">
        <v>2006</v>
      </c>
      <c r="D49" s="55" t="s">
        <v>173</v>
      </c>
      <c r="E49" s="56" t="s">
        <v>183</v>
      </c>
      <c r="F49" s="57">
        <v>105020</v>
      </c>
    </row>
    <row r="50" spans="2:6" x14ac:dyDescent="0.3">
      <c r="B50" s="53" t="s">
        <v>31</v>
      </c>
      <c r="C50" s="54">
        <v>2007</v>
      </c>
      <c r="D50" s="55" t="s">
        <v>173</v>
      </c>
      <c r="E50" s="56" t="s">
        <v>177</v>
      </c>
      <c r="F50" s="57">
        <v>1536747</v>
      </c>
    </row>
    <row r="51" spans="2:6" x14ac:dyDescent="0.3">
      <c r="B51" s="53" t="s">
        <v>31</v>
      </c>
      <c r="C51" s="54">
        <v>2007</v>
      </c>
      <c r="D51" s="55" t="s">
        <v>173</v>
      </c>
      <c r="E51" s="56" t="s">
        <v>82</v>
      </c>
      <c r="F51" s="57">
        <v>2041123</v>
      </c>
    </row>
    <row r="52" spans="2:6" x14ac:dyDescent="0.3">
      <c r="B52" s="53" t="s">
        <v>31</v>
      </c>
      <c r="C52" s="54">
        <v>2007</v>
      </c>
      <c r="D52" s="55" t="s">
        <v>173</v>
      </c>
      <c r="E52" s="56" t="s">
        <v>145</v>
      </c>
      <c r="F52" s="57">
        <v>1451018</v>
      </c>
    </row>
    <row r="53" spans="2:6" x14ac:dyDescent="0.3">
      <c r="B53" s="53" t="s">
        <v>31</v>
      </c>
      <c r="C53" s="54">
        <v>2007</v>
      </c>
      <c r="D53" s="55" t="s">
        <v>173</v>
      </c>
      <c r="E53" s="56" t="s">
        <v>184</v>
      </c>
      <c r="F53" s="57" t="s">
        <v>24</v>
      </c>
    </row>
    <row r="54" spans="2:6" x14ac:dyDescent="0.3">
      <c r="B54" s="53" t="s">
        <v>31</v>
      </c>
      <c r="C54" s="54">
        <v>2007</v>
      </c>
      <c r="D54" s="55" t="s">
        <v>173</v>
      </c>
      <c r="E54" s="56" t="s">
        <v>185</v>
      </c>
      <c r="F54" s="57">
        <v>1933811</v>
      </c>
    </row>
    <row r="55" spans="2:6" x14ac:dyDescent="0.3">
      <c r="B55" s="53" t="s">
        <v>31</v>
      </c>
      <c r="C55" s="54">
        <v>2007</v>
      </c>
      <c r="D55" s="55" t="s">
        <v>173</v>
      </c>
      <c r="E55" s="56" t="s">
        <v>180</v>
      </c>
      <c r="F55" s="57">
        <v>7364</v>
      </c>
    </row>
    <row r="56" spans="2:6" x14ac:dyDescent="0.3">
      <c r="B56" s="53" t="s">
        <v>31</v>
      </c>
      <c r="C56" s="54">
        <v>2007</v>
      </c>
      <c r="D56" s="55" t="s">
        <v>173</v>
      </c>
      <c r="E56" s="56" t="s">
        <v>175</v>
      </c>
      <c r="F56" s="57">
        <v>1190121</v>
      </c>
    </row>
    <row r="57" spans="2:6" x14ac:dyDescent="0.3">
      <c r="B57" s="53" t="s">
        <v>31</v>
      </c>
      <c r="C57" s="54">
        <v>2007</v>
      </c>
      <c r="D57" s="55" t="s">
        <v>173</v>
      </c>
      <c r="E57" s="56" t="s">
        <v>182</v>
      </c>
      <c r="F57" s="57">
        <v>1642</v>
      </c>
    </row>
    <row r="58" spans="2:6" x14ac:dyDescent="0.3">
      <c r="B58" s="53" t="s">
        <v>31</v>
      </c>
      <c r="C58" s="54">
        <v>2007</v>
      </c>
      <c r="D58" s="55" t="s">
        <v>173</v>
      </c>
      <c r="E58" s="56" t="s">
        <v>183</v>
      </c>
      <c r="F58" s="57">
        <v>73364</v>
      </c>
    </row>
    <row r="59" spans="2:6" ht="32.25" customHeight="1" x14ac:dyDescent="0.3">
      <c r="B59" s="53" t="s">
        <v>31</v>
      </c>
      <c r="C59" s="54">
        <v>2008</v>
      </c>
      <c r="D59" s="58" t="s">
        <v>186</v>
      </c>
      <c r="E59" s="56" t="s">
        <v>187</v>
      </c>
      <c r="F59" s="57"/>
    </row>
    <row r="60" spans="2:6" x14ac:dyDescent="0.3">
      <c r="B60" s="53" t="s">
        <v>31</v>
      </c>
      <c r="C60" s="54">
        <v>2008</v>
      </c>
      <c r="D60" s="55" t="s">
        <v>173</v>
      </c>
      <c r="E60" s="56" t="s">
        <v>177</v>
      </c>
      <c r="F60" s="57">
        <v>1559519</v>
      </c>
    </row>
    <row r="61" spans="2:6" x14ac:dyDescent="0.3">
      <c r="B61" s="53" t="s">
        <v>31</v>
      </c>
      <c r="C61" s="54">
        <v>2008</v>
      </c>
      <c r="D61" s="55" t="s">
        <v>173</v>
      </c>
      <c r="E61" s="56" t="s">
        <v>82</v>
      </c>
      <c r="F61" s="57" t="s">
        <v>24</v>
      </c>
    </row>
    <row r="62" spans="2:6" x14ac:dyDescent="0.3">
      <c r="B62" s="53" t="s">
        <v>31</v>
      </c>
      <c r="C62" s="54">
        <v>2008</v>
      </c>
      <c r="D62" s="55" t="s">
        <v>173</v>
      </c>
      <c r="E62" s="56" t="s">
        <v>188</v>
      </c>
      <c r="F62" s="57">
        <v>1635723</v>
      </c>
    </row>
    <row r="63" spans="2:6" x14ac:dyDescent="0.3">
      <c r="B63" s="53" t="s">
        <v>31</v>
      </c>
      <c r="C63" s="54">
        <v>2008</v>
      </c>
      <c r="D63" s="55" t="s">
        <v>173</v>
      </c>
      <c r="E63" s="56" t="s">
        <v>175</v>
      </c>
      <c r="F63" s="57">
        <v>1323420</v>
      </c>
    </row>
    <row r="64" spans="2:6" x14ac:dyDescent="0.3">
      <c r="B64" s="53" t="s">
        <v>31</v>
      </c>
      <c r="C64" s="54">
        <v>2008</v>
      </c>
      <c r="D64" s="55" t="s">
        <v>173</v>
      </c>
      <c r="E64" s="56" t="s">
        <v>180</v>
      </c>
      <c r="F64" s="57">
        <v>17953332</v>
      </c>
    </row>
    <row r="65" spans="2:6" x14ac:dyDescent="0.3">
      <c r="B65" s="53" t="s">
        <v>31</v>
      </c>
      <c r="C65" s="54">
        <v>2008</v>
      </c>
      <c r="D65" s="55" t="s">
        <v>173</v>
      </c>
      <c r="E65" s="56" t="s">
        <v>189</v>
      </c>
      <c r="F65" s="57">
        <v>10254497</v>
      </c>
    </row>
    <row r="66" spans="2:6" x14ac:dyDescent="0.3">
      <c r="B66" s="53" t="s">
        <v>31</v>
      </c>
      <c r="C66" s="54">
        <v>2008</v>
      </c>
      <c r="D66" s="55" t="s">
        <v>173</v>
      </c>
      <c r="E66" s="56" t="s">
        <v>182</v>
      </c>
      <c r="F66" s="57">
        <v>1642</v>
      </c>
    </row>
    <row r="67" spans="2:6" x14ac:dyDescent="0.3">
      <c r="B67" s="53" t="s">
        <v>31</v>
      </c>
      <c r="C67" s="54">
        <v>2008</v>
      </c>
      <c r="D67" s="55" t="s">
        <v>173</v>
      </c>
      <c r="E67" s="56" t="s">
        <v>183</v>
      </c>
      <c r="F67" s="57">
        <v>82539</v>
      </c>
    </row>
    <row r="68" spans="2:6" ht="35.25" customHeight="1" x14ac:dyDescent="0.3">
      <c r="B68" s="53" t="s">
        <v>31</v>
      </c>
      <c r="C68" s="54">
        <v>2009</v>
      </c>
      <c r="D68" s="58" t="s">
        <v>186</v>
      </c>
      <c r="E68" s="56" t="s">
        <v>187</v>
      </c>
      <c r="F68" s="57"/>
    </row>
    <row r="69" spans="2:6" x14ac:dyDescent="0.3">
      <c r="B69" s="53" t="s">
        <v>31</v>
      </c>
      <c r="C69" s="54">
        <v>2009</v>
      </c>
      <c r="D69" s="55" t="s">
        <v>173</v>
      </c>
      <c r="E69" s="56" t="s">
        <v>177</v>
      </c>
      <c r="F69" s="57">
        <v>1486120</v>
      </c>
    </row>
    <row r="70" spans="2:6" x14ac:dyDescent="0.3">
      <c r="B70" s="53" t="s">
        <v>31</v>
      </c>
      <c r="C70" s="54">
        <v>2009</v>
      </c>
      <c r="D70" s="55" t="s">
        <v>173</v>
      </c>
      <c r="E70" s="56" t="s">
        <v>82</v>
      </c>
      <c r="F70" s="57">
        <v>2354519</v>
      </c>
    </row>
    <row r="71" spans="2:6" x14ac:dyDescent="0.3">
      <c r="B71" s="53" t="s">
        <v>31</v>
      </c>
      <c r="C71" s="54">
        <v>2009</v>
      </c>
      <c r="D71" s="55" t="s">
        <v>173</v>
      </c>
      <c r="E71" s="56" t="s">
        <v>188</v>
      </c>
      <c r="F71" s="57">
        <v>1807360</v>
      </c>
    </row>
    <row r="72" spans="2:6" x14ac:dyDescent="0.3">
      <c r="B72" s="53" t="s">
        <v>31</v>
      </c>
      <c r="C72" s="54">
        <v>2009</v>
      </c>
      <c r="D72" s="55" t="s">
        <v>173</v>
      </c>
      <c r="E72" s="56" t="s">
        <v>179</v>
      </c>
      <c r="F72" s="57">
        <v>2123808</v>
      </c>
    </row>
    <row r="73" spans="2:6" x14ac:dyDescent="0.3">
      <c r="B73" s="53" t="s">
        <v>31</v>
      </c>
      <c r="C73" s="54">
        <v>2009</v>
      </c>
      <c r="D73" s="55" t="s">
        <v>173</v>
      </c>
      <c r="E73" s="56" t="s">
        <v>190</v>
      </c>
      <c r="F73" s="57">
        <v>12659372</v>
      </c>
    </row>
    <row r="74" spans="2:6" x14ac:dyDescent="0.3">
      <c r="B74" s="53" t="s">
        <v>31</v>
      </c>
      <c r="C74" s="54">
        <v>2009</v>
      </c>
      <c r="D74" s="55" t="s">
        <v>173</v>
      </c>
      <c r="E74" s="56" t="s">
        <v>191</v>
      </c>
      <c r="F74" s="57">
        <v>14949612</v>
      </c>
    </row>
    <row r="75" spans="2:6" x14ac:dyDescent="0.3">
      <c r="B75" s="53" t="s">
        <v>31</v>
      </c>
      <c r="C75" s="54">
        <v>2009</v>
      </c>
      <c r="D75" s="55" t="s">
        <v>173</v>
      </c>
      <c r="E75" s="56" t="s">
        <v>192</v>
      </c>
      <c r="F75" s="57">
        <v>7982641</v>
      </c>
    </row>
    <row r="76" spans="2:6" x14ac:dyDescent="0.3">
      <c r="B76" s="53" t="s">
        <v>31</v>
      </c>
      <c r="C76" s="54">
        <v>2009</v>
      </c>
      <c r="D76" s="55" t="s">
        <v>173</v>
      </c>
      <c r="E76" s="56" t="s">
        <v>175</v>
      </c>
      <c r="F76" s="57">
        <v>1300103</v>
      </c>
    </row>
    <row r="77" spans="2:6" x14ac:dyDescent="0.3">
      <c r="B77" s="53" t="s">
        <v>31</v>
      </c>
      <c r="C77" s="54">
        <v>2009</v>
      </c>
      <c r="D77" s="55" t="s">
        <v>173</v>
      </c>
      <c r="E77" s="56" t="s">
        <v>193</v>
      </c>
      <c r="F77" s="57">
        <v>52959714</v>
      </c>
    </row>
    <row r="78" spans="2:6" x14ac:dyDescent="0.3">
      <c r="B78" s="53" t="s">
        <v>31</v>
      </c>
      <c r="C78" s="54">
        <v>2009</v>
      </c>
      <c r="D78" s="55" t="s">
        <v>173</v>
      </c>
      <c r="E78" s="56" t="s">
        <v>194</v>
      </c>
      <c r="F78" s="57">
        <v>7196572</v>
      </c>
    </row>
    <row r="79" spans="2:6" x14ac:dyDescent="0.3">
      <c r="B79" s="53" t="s">
        <v>31</v>
      </c>
      <c r="C79" s="54">
        <v>2009</v>
      </c>
      <c r="D79" s="55" t="s">
        <v>173</v>
      </c>
      <c r="E79" s="56" t="s">
        <v>195</v>
      </c>
      <c r="F79" s="57">
        <v>26117306</v>
      </c>
    </row>
    <row r="80" spans="2:6" x14ac:dyDescent="0.3">
      <c r="B80" s="53" t="s">
        <v>31</v>
      </c>
      <c r="C80" s="54">
        <v>2009</v>
      </c>
      <c r="D80" s="55" t="s">
        <v>173</v>
      </c>
      <c r="E80" s="56" t="s">
        <v>196</v>
      </c>
      <c r="F80" s="57" t="s">
        <v>24</v>
      </c>
    </row>
    <row r="81" spans="2:12" x14ac:dyDescent="0.3">
      <c r="B81" s="53" t="s">
        <v>31</v>
      </c>
      <c r="C81" s="54">
        <v>2009</v>
      </c>
      <c r="D81" s="55" t="s">
        <v>173</v>
      </c>
      <c r="E81" s="56" t="s">
        <v>182</v>
      </c>
      <c r="F81" s="57" t="s">
        <v>197</v>
      </c>
    </row>
    <row r="82" spans="2:12" x14ac:dyDescent="0.3">
      <c r="B82" s="53" t="s">
        <v>31</v>
      </c>
      <c r="C82" s="54">
        <v>2009</v>
      </c>
      <c r="D82" s="55" t="s">
        <v>173</v>
      </c>
      <c r="E82" s="56" t="s">
        <v>183</v>
      </c>
      <c r="F82" s="57"/>
    </row>
    <row r="83" spans="2:12" ht="39.75" customHeight="1" x14ac:dyDescent="0.3">
      <c r="B83" s="53" t="s">
        <v>31</v>
      </c>
      <c r="C83" s="54">
        <v>2010</v>
      </c>
      <c r="D83" s="58" t="s">
        <v>186</v>
      </c>
      <c r="E83" s="56" t="s">
        <v>198</v>
      </c>
      <c r="F83" s="57"/>
    </row>
    <row r="84" spans="2:12" ht="21.6" x14ac:dyDescent="0.3">
      <c r="B84" s="53" t="s">
        <v>31</v>
      </c>
      <c r="C84" s="54">
        <v>2010</v>
      </c>
      <c r="D84" s="55" t="s">
        <v>173</v>
      </c>
      <c r="E84" s="56" t="s">
        <v>177</v>
      </c>
      <c r="F84" s="57">
        <v>1407536</v>
      </c>
      <c r="H84" s="61" t="s">
        <v>177</v>
      </c>
      <c r="I84" s="61">
        <v>16.239999999999998</v>
      </c>
      <c r="K84" s="61" t="s">
        <v>177</v>
      </c>
      <c r="L84" s="61">
        <v>16.239999999999998</v>
      </c>
    </row>
    <row r="85" spans="2:12" ht="21.6" x14ac:dyDescent="0.3">
      <c r="B85" s="53" t="s">
        <v>31</v>
      </c>
      <c r="C85" s="54">
        <v>2010</v>
      </c>
      <c r="D85" s="55" t="s">
        <v>173</v>
      </c>
      <c r="E85" s="56" t="s">
        <v>188</v>
      </c>
      <c r="F85" s="57">
        <v>2008574</v>
      </c>
      <c r="H85" s="61" t="s">
        <v>175</v>
      </c>
      <c r="I85" s="61">
        <v>7.02</v>
      </c>
      <c r="K85" s="61" t="s">
        <v>188</v>
      </c>
      <c r="L85" s="61">
        <v>20.21</v>
      </c>
    </row>
    <row r="86" spans="2:12" ht="21.6" x14ac:dyDescent="0.3">
      <c r="B86" s="53" t="s">
        <v>31</v>
      </c>
      <c r="C86" s="54">
        <v>2010</v>
      </c>
      <c r="D86" s="55" t="s">
        <v>173</v>
      </c>
      <c r="E86" s="56" t="s">
        <v>179</v>
      </c>
      <c r="F86" s="57">
        <v>1440025</v>
      </c>
      <c r="H86" s="61" t="s">
        <v>190</v>
      </c>
      <c r="I86" s="61">
        <v>18.850000000000001</v>
      </c>
      <c r="K86" s="61" t="s">
        <v>179</v>
      </c>
      <c r="L86" s="61">
        <v>0.17</v>
      </c>
    </row>
    <row r="87" spans="2:12" x14ac:dyDescent="0.3">
      <c r="B87" s="53" t="s">
        <v>31</v>
      </c>
      <c r="C87" s="54">
        <v>2010</v>
      </c>
      <c r="D87" s="55" t="s">
        <v>173</v>
      </c>
      <c r="E87" s="56" t="s">
        <v>175</v>
      </c>
      <c r="F87" s="57">
        <v>10991081</v>
      </c>
      <c r="H87" s="61" t="s">
        <v>199</v>
      </c>
      <c r="I87" s="61"/>
      <c r="K87" s="61" t="s">
        <v>175</v>
      </c>
      <c r="L87" s="61">
        <v>7.02</v>
      </c>
    </row>
    <row r="88" spans="2:12" ht="32.4" x14ac:dyDescent="0.3">
      <c r="B88" s="53" t="s">
        <v>31</v>
      </c>
      <c r="C88" s="54">
        <v>2010</v>
      </c>
      <c r="D88" s="55" t="s">
        <v>173</v>
      </c>
      <c r="E88" s="56" t="s">
        <v>190</v>
      </c>
      <c r="F88" s="57">
        <v>14305676</v>
      </c>
      <c r="H88" s="61" t="s">
        <v>200</v>
      </c>
      <c r="I88" s="61"/>
      <c r="K88" s="61" t="s">
        <v>190</v>
      </c>
      <c r="L88" s="61">
        <v>18.850000000000001</v>
      </c>
    </row>
    <row r="89" spans="2:12" ht="15" customHeight="1" x14ac:dyDescent="0.3">
      <c r="B89" s="53" t="s">
        <v>31</v>
      </c>
      <c r="C89" s="54">
        <v>2010</v>
      </c>
      <c r="D89" s="55" t="s">
        <v>173</v>
      </c>
      <c r="E89" s="56" t="s">
        <v>201</v>
      </c>
      <c r="F89" s="57">
        <v>7638799</v>
      </c>
      <c r="H89" s="61" t="s">
        <v>202</v>
      </c>
      <c r="I89" s="61">
        <v>28.5</v>
      </c>
      <c r="K89" s="61" t="s">
        <v>203</v>
      </c>
      <c r="L89" s="61"/>
    </row>
    <row r="90" spans="2:12" ht="15" customHeight="1" x14ac:dyDescent="0.3">
      <c r="B90" s="53" t="s">
        <v>31</v>
      </c>
      <c r="C90" s="54">
        <v>2010</v>
      </c>
      <c r="D90" s="55" t="s">
        <v>173</v>
      </c>
      <c r="E90" s="56" t="s">
        <v>192</v>
      </c>
      <c r="F90" s="57"/>
      <c r="H90" s="61" t="s">
        <v>204</v>
      </c>
      <c r="I90" s="61"/>
      <c r="K90" s="61" t="s">
        <v>205</v>
      </c>
      <c r="L90" s="61"/>
    </row>
    <row r="91" spans="2:12" x14ac:dyDescent="0.3">
      <c r="B91" s="53" t="s">
        <v>31</v>
      </c>
      <c r="C91" s="54">
        <v>2010</v>
      </c>
      <c r="D91" s="55" t="s">
        <v>173</v>
      </c>
      <c r="E91" s="56" t="s">
        <v>202</v>
      </c>
      <c r="F91" s="57">
        <v>2166060</v>
      </c>
      <c r="H91" s="61" t="s">
        <v>206</v>
      </c>
      <c r="I91" s="61"/>
      <c r="K91" s="61" t="s">
        <v>202</v>
      </c>
      <c r="L91" s="61">
        <v>28.5</v>
      </c>
    </row>
    <row r="92" spans="2:12" ht="15" customHeight="1" x14ac:dyDescent="0.3">
      <c r="B92" s="53" t="s">
        <v>31</v>
      </c>
      <c r="C92" s="54">
        <v>2010</v>
      </c>
      <c r="D92" s="55" t="s">
        <v>173</v>
      </c>
      <c r="E92" s="56" t="s">
        <v>207</v>
      </c>
      <c r="F92" s="57">
        <v>160009917</v>
      </c>
      <c r="H92" s="61" t="s">
        <v>208</v>
      </c>
      <c r="I92" s="61"/>
      <c r="K92" s="61" t="s">
        <v>204</v>
      </c>
      <c r="L92" s="61"/>
    </row>
    <row r="93" spans="2:12" ht="15" customHeight="1" x14ac:dyDescent="0.3">
      <c r="B93" s="53" t="s">
        <v>31</v>
      </c>
      <c r="C93" s="54">
        <v>2010</v>
      </c>
      <c r="D93" s="55" t="s">
        <v>173</v>
      </c>
      <c r="E93" s="56" t="s">
        <v>209</v>
      </c>
      <c r="F93" s="57">
        <v>7368687</v>
      </c>
      <c r="K93" s="61" t="s">
        <v>206</v>
      </c>
      <c r="L93" s="61"/>
    </row>
    <row r="94" spans="2:12" ht="15" customHeight="1" x14ac:dyDescent="0.3">
      <c r="B94" s="53" t="s">
        <v>31</v>
      </c>
      <c r="C94" s="54">
        <v>2010</v>
      </c>
      <c r="D94" s="55" t="s">
        <v>173</v>
      </c>
      <c r="E94" s="56" t="s">
        <v>210</v>
      </c>
      <c r="F94" s="57">
        <v>26367132</v>
      </c>
      <c r="K94" s="61" t="s">
        <v>208</v>
      </c>
      <c r="L94" s="61"/>
    </row>
    <row r="95" spans="2:12" ht="32.25" customHeight="1" x14ac:dyDescent="0.3">
      <c r="B95" s="53" t="s">
        <v>31</v>
      </c>
      <c r="C95" s="54">
        <v>2011</v>
      </c>
      <c r="D95" s="58" t="s">
        <v>186</v>
      </c>
      <c r="E95" s="56" t="s">
        <v>211</v>
      </c>
      <c r="F95" s="57"/>
    </row>
    <row r="96" spans="2:12" x14ac:dyDescent="0.3">
      <c r="B96" s="53" t="s">
        <v>31</v>
      </c>
      <c r="C96" s="54">
        <v>2011</v>
      </c>
      <c r="D96" s="55" t="s">
        <v>173</v>
      </c>
      <c r="E96" s="56" t="s">
        <v>177</v>
      </c>
      <c r="F96" s="57">
        <v>1336591</v>
      </c>
    </row>
    <row r="97" spans="2:6" x14ac:dyDescent="0.3">
      <c r="B97" s="53" t="s">
        <v>31</v>
      </c>
      <c r="C97" s="54">
        <v>2011</v>
      </c>
      <c r="D97" s="55" t="s">
        <v>173</v>
      </c>
      <c r="E97" s="56" t="s">
        <v>188</v>
      </c>
      <c r="F97" s="57">
        <v>2289085</v>
      </c>
    </row>
    <row r="98" spans="2:6" x14ac:dyDescent="0.3">
      <c r="B98" s="53" t="s">
        <v>31</v>
      </c>
      <c r="C98" s="54">
        <v>2011</v>
      </c>
      <c r="D98" s="55" t="s">
        <v>173</v>
      </c>
      <c r="E98" s="56" t="s">
        <v>175</v>
      </c>
      <c r="F98" s="57">
        <v>1520386</v>
      </c>
    </row>
    <row r="99" spans="2:6" ht="12" customHeight="1" x14ac:dyDescent="0.3">
      <c r="B99" s="53" t="s">
        <v>31</v>
      </c>
      <c r="C99" s="54">
        <v>2011</v>
      </c>
      <c r="D99" s="55" t="s">
        <v>173</v>
      </c>
      <c r="E99" s="56" t="s">
        <v>190</v>
      </c>
      <c r="F99" s="57">
        <v>11109433</v>
      </c>
    </row>
    <row r="100" spans="2:6" ht="12" customHeight="1" x14ac:dyDescent="0.3">
      <c r="B100" s="53" t="s">
        <v>31</v>
      </c>
      <c r="C100" s="54">
        <v>2011</v>
      </c>
      <c r="D100" s="55" t="s">
        <v>173</v>
      </c>
      <c r="E100" s="56" t="s">
        <v>212</v>
      </c>
      <c r="F100" s="57">
        <v>16105261</v>
      </c>
    </row>
    <row r="101" spans="2:6" ht="12" customHeight="1" x14ac:dyDescent="0.3">
      <c r="B101" s="53" t="s">
        <v>31</v>
      </c>
      <c r="C101" s="54">
        <v>2011</v>
      </c>
      <c r="D101" s="55" t="s">
        <v>173</v>
      </c>
      <c r="E101" s="56" t="s">
        <v>213</v>
      </c>
      <c r="F101" s="57">
        <v>8599724</v>
      </c>
    </row>
    <row r="102" spans="2:6" ht="12" customHeight="1" x14ac:dyDescent="0.3">
      <c r="B102" s="53" t="s">
        <v>31</v>
      </c>
      <c r="C102" s="54">
        <v>2011</v>
      </c>
      <c r="D102" s="55" t="s">
        <v>173</v>
      </c>
      <c r="E102" s="56" t="s">
        <v>214</v>
      </c>
      <c r="F102" s="57">
        <v>2438540</v>
      </c>
    </row>
    <row r="103" spans="2:6" ht="12" customHeight="1" x14ac:dyDescent="0.3">
      <c r="B103" s="53" t="s">
        <v>31</v>
      </c>
      <c r="C103" s="54">
        <v>2011</v>
      </c>
      <c r="D103" s="55" t="s">
        <v>173</v>
      </c>
      <c r="E103" s="56" t="s">
        <v>202</v>
      </c>
      <c r="F103" s="57"/>
    </row>
    <row r="104" spans="2:6" ht="12" customHeight="1" x14ac:dyDescent="0.3">
      <c r="B104" s="53" t="s">
        <v>31</v>
      </c>
      <c r="C104" s="54">
        <v>2011</v>
      </c>
      <c r="D104" s="55" t="s">
        <v>173</v>
      </c>
      <c r="E104" s="56" t="s">
        <v>215</v>
      </c>
      <c r="F104" s="57">
        <v>215264195</v>
      </c>
    </row>
    <row r="105" spans="2:6" ht="12" customHeight="1" x14ac:dyDescent="0.3">
      <c r="B105" s="53" t="s">
        <v>31</v>
      </c>
      <c r="C105" s="54">
        <v>2011</v>
      </c>
      <c r="D105" s="55" t="s">
        <v>173</v>
      </c>
      <c r="E105" s="56" t="s">
        <v>216</v>
      </c>
      <c r="F105" s="57">
        <v>7544919</v>
      </c>
    </row>
    <row r="106" spans="2:6" ht="12" customHeight="1" x14ac:dyDescent="0.3">
      <c r="B106" s="53" t="s">
        <v>31</v>
      </c>
      <c r="C106" s="54">
        <v>2011</v>
      </c>
      <c r="D106" s="55" t="s">
        <v>173</v>
      </c>
      <c r="E106" s="56" t="s">
        <v>217</v>
      </c>
      <c r="F106" s="57">
        <v>26619347</v>
      </c>
    </row>
    <row r="107" spans="2:6" x14ac:dyDescent="0.3">
      <c r="B107" s="53" t="s">
        <v>31</v>
      </c>
      <c r="C107" s="54">
        <v>2011</v>
      </c>
      <c r="D107" s="55" t="s">
        <v>173</v>
      </c>
      <c r="E107" s="56" t="s">
        <v>182</v>
      </c>
      <c r="F107" s="57">
        <v>1642</v>
      </c>
    </row>
    <row r="108" spans="2:6" x14ac:dyDescent="0.3">
      <c r="B108" s="53" t="s">
        <v>31</v>
      </c>
      <c r="C108" s="54">
        <v>2011</v>
      </c>
      <c r="D108" s="55" t="s">
        <v>173</v>
      </c>
      <c r="E108" s="56" t="s">
        <v>183</v>
      </c>
      <c r="F108" s="57">
        <v>1284675</v>
      </c>
    </row>
    <row r="109" spans="2:6" ht="53.25" customHeight="1" x14ac:dyDescent="0.3">
      <c r="B109" s="53" t="s">
        <v>31</v>
      </c>
      <c r="C109" s="54">
        <v>2012</v>
      </c>
      <c r="D109" s="58" t="s">
        <v>186</v>
      </c>
      <c r="E109" s="56" t="s">
        <v>218</v>
      </c>
      <c r="F109" s="57">
        <v>4862208</v>
      </c>
    </row>
    <row r="110" spans="2:6" x14ac:dyDescent="0.3">
      <c r="B110" s="53" t="s">
        <v>31</v>
      </c>
      <c r="C110" s="54">
        <v>2012</v>
      </c>
      <c r="D110" s="55" t="s">
        <v>173</v>
      </c>
      <c r="E110" s="56" t="s">
        <v>177</v>
      </c>
      <c r="F110" s="59">
        <v>1252766</v>
      </c>
    </row>
    <row r="111" spans="2:6" x14ac:dyDescent="0.3">
      <c r="B111" s="53" t="s">
        <v>31</v>
      </c>
      <c r="C111" s="54">
        <v>2012</v>
      </c>
      <c r="D111" s="55" t="s">
        <v>173</v>
      </c>
      <c r="E111" s="56" t="s">
        <v>188</v>
      </c>
      <c r="F111" s="59">
        <v>2562176</v>
      </c>
    </row>
    <row r="112" spans="2:6" x14ac:dyDescent="0.3">
      <c r="B112" s="53" t="s">
        <v>31</v>
      </c>
      <c r="C112" s="54">
        <v>2012</v>
      </c>
      <c r="D112" s="55" t="s">
        <v>173</v>
      </c>
      <c r="E112" s="56" t="s">
        <v>175</v>
      </c>
      <c r="F112" s="59">
        <v>1630330</v>
      </c>
    </row>
    <row r="113" spans="2:6" x14ac:dyDescent="0.3">
      <c r="B113" s="53" t="s">
        <v>31</v>
      </c>
      <c r="C113" s="54">
        <v>2012</v>
      </c>
      <c r="D113" s="55" t="s">
        <v>173</v>
      </c>
      <c r="E113" s="56" t="s">
        <v>190</v>
      </c>
      <c r="F113" s="59">
        <v>10725334</v>
      </c>
    </row>
    <row r="114" spans="2:6" x14ac:dyDescent="0.3">
      <c r="B114" s="53" t="s">
        <v>31</v>
      </c>
      <c r="C114" s="54">
        <v>2012</v>
      </c>
      <c r="D114" s="55" t="s">
        <v>173</v>
      </c>
      <c r="E114" s="56" t="s">
        <v>212</v>
      </c>
      <c r="F114" s="59">
        <v>17545101</v>
      </c>
    </row>
    <row r="115" spans="2:6" x14ac:dyDescent="0.3">
      <c r="B115" s="53" t="s">
        <v>31</v>
      </c>
      <c r="C115" s="54">
        <v>2012</v>
      </c>
      <c r="D115" s="55" t="s">
        <v>173</v>
      </c>
      <c r="E115" s="56" t="s">
        <v>219</v>
      </c>
      <c r="F115" s="59">
        <v>9368555</v>
      </c>
    </row>
    <row r="116" spans="2:6" x14ac:dyDescent="0.3">
      <c r="B116" s="53" t="s">
        <v>31</v>
      </c>
      <c r="C116" s="54">
        <v>2012</v>
      </c>
      <c r="D116" s="55" t="s">
        <v>173</v>
      </c>
      <c r="E116" s="56" t="s">
        <v>220</v>
      </c>
      <c r="F116" s="59">
        <v>2656550</v>
      </c>
    </row>
    <row r="117" spans="2:6" x14ac:dyDescent="0.3">
      <c r="B117" s="53" t="s">
        <v>31</v>
      </c>
      <c r="C117" s="54">
        <v>2012</v>
      </c>
      <c r="D117" s="55" t="s">
        <v>173</v>
      </c>
      <c r="E117" s="56" t="s">
        <v>214</v>
      </c>
      <c r="F117" s="60" t="s">
        <v>24</v>
      </c>
    </row>
    <row r="118" spans="2:6" x14ac:dyDescent="0.3">
      <c r="B118" s="53" t="s">
        <v>31</v>
      </c>
      <c r="C118" s="54">
        <v>2012</v>
      </c>
      <c r="D118" s="55" t="s">
        <v>173</v>
      </c>
      <c r="E118" s="56" t="s">
        <v>221</v>
      </c>
      <c r="F118" s="59">
        <v>277134986</v>
      </c>
    </row>
    <row r="119" spans="2:6" x14ac:dyDescent="0.3">
      <c r="B119" s="53" t="s">
        <v>31</v>
      </c>
      <c r="C119" s="54">
        <v>2012</v>
      </c>
      <c r="D119" s="55" t="s">
        <v>173</v>
      </c>
      <c r="E119" s="56" t="s">
        <v>222</v>
      </c>
      <c r="F119" s="59">
        <v>7710714</v>
      </c>
    </row>
    <row r="120" spans="2:6" x14ac:dyDescent="0.3">
      <c r="B120" s="53" t="s">
        <v>31</v>
      </c>
      <c r="C120" s="54">
        <v>2012</v>
      </c>
      <c r="D120" s="55" t="s">
        <v>173</v>
      </c>
      <c r="E120" s="56" t="s">
        <v>223</v>
      </c>
      <c r="F120" s="59">
        <v>26821233</v>
      </c>
    </row>
    <row r="121" spans="2:6" x14ac:dyDescent="0.3">
      <c r="B121" s="53" t="s">
        <v>31</v>
      </c>
      <c r="C121" s="54">
        <v>2012</v>
      </c>
      <c r="D121" s="55" t="s">
        <v>173</v>
      </c>
      <c r="E121" s="56" t="s">
        <v>182</v>
      </c>
      <c r="F121" s="59">
        <v>1642</v>
      </c>
    </row>
    <row r="122" spans="2:6" x14ac:dyDescent="0.3">
      <c r="B122" s="53" t="s">
        <v>31</v>
      </c>
      <c r="C122" s="54">
        <v>2012</v>
      </c>
      <c r="D122" s="55" t="s">
        <v>173</v>
      </c>
      <c r="E122" s="56" t="s">
        <v>183</v>
      </c>
      <c r="F122" s="59">
        <v>1386422</v>
      </c>
    </row>
    <row r="123" spans="2:6" ht="60" customHeight="1" x14ac:dyDescent="0.3">
      <c r="B123" s="53" t="s">
        <v>31</v>
      </c>
      <c r="C123" s="54">
        <v>2013</v>
      </c>
      <c r="D123" s="58" t="s">
        <v>186</v>
      </c>
      <c r="E123" s="56" t="s">
        <v>224</v>
      </c>
      <c r="F123" s="57"/>
    </row>
    <row r="124" spans="2:6" x14ac:dyDescent="0.3">
      <c r="B124" s="53" t="s">
        <v>31</v>
      </c>
      <c r="C124" s="54">
        <v>2013</v>
      </c>
      <c r="D124" s="55" t="s">
        <v>173</v>
      </c>
      <c r="E124" s="56" t="s">
        <v>177</v>
      </c>
      <c r="F124" s="57">
        <v>1165459</v>
      </c>
    </row>
    <row r="125" spans="2:6" x14ac:dyDescent="0.3">
      <c r="B125" s="53" t="s">
        <v>31</v>
      </c>
      <c r="C125" s="54">
        <v>2013</v>
      </c>
      <c r="D125" s="55" t="s">
        <v>173</v>
      </c>
      <c r="E125" s="56" t="s">
        <v>188</v>
      </c>
      <c r="F125" s="57">
        <v>2297591</v>
      </c>
    </row>
    <row r="126" spans="2:6" x14ac:dyDescent="0.3">
      <c r="B126" s="53" t="s">
        <v>31</v>
      </c>
      <c r="C126" s="54">
        <v>2013</v>
      </c>
      <c r="D126" s="55" t="s">
        <v>173</v>
      </c>
      <c r="E126" s="56" t="s">
        <v>175</v>
      </c>
      <c r="F126" s="57">
        <v>1719938</v>
      </c>
    </row>
    <row r="127" spans="2:6" x14ac:dyDescent="0.3">
      <c r="B127" s="53" t="s">
        <v>31</v>
      </c>
      <c r="C127" s="54">
        <v>2013</v>
      </c>
      <c r="D127" s="55" t="s">
        <v>173</v>
      </c>
      <c r="E127" s="56" t="s">
        <v>190</v>
      </c>
      <c r="F127" s="57">
        <v>10716270</v>
      </c>
    </row>
    <row r="128" spans="2:6" x14ac:dyDescent="0.3">
      <c r="B128" s="53" t="s">
        <v>31</v>
      </c>
      <c r="C128" s="54">
        <v>2013</v>
      </c>
      <c r="D128" s="55" t="s">
        <v>173</v>
      </c>
      <c r="E128" s="56" t="s">
        <v>212</v>
      </c>
      <c r="F128" s="57" t="s">
        <v>24</v>
      </c>
    </row>
    <row r="129" spans="2:6" x14ac:dyDescent="0.3">
      <c r="B129" s="53" t="s">
        <v>31</v>
      </c>
      <c r="C129" s="54">
        <v>2013</v>
      </c>
      <c r="D129" s="55" t="s">
        <v>173</v>
      </c>
      <c r="E129" s="56" t="s">
        <v>225</v>
      </c>
      <c r="F129" s="57" t="s">
        <v>24</v>
      </c>
    </row>
    <row r="130" spans="2:6" x14ac:dyDescent="0.3">
      <c r="B130" s="53" t="s">
        <v>31</v>
      </c>
      <c r="C130" s="54">
        <v>2013</v>
      </c>
      <c r="D130" s="55" t="s">
        <v>173</v>
      </c>
      <c r="E130" s="56" t="s">
        <v>226</v>
      </c>
      <c r="F130" s="57">
        <v>734679</v>
      </c>
    </row>
    <row r="131" spans="2:6" x14ac:dyDescent="0.3">
      <c r="B131" s="53" t="s">
        <v>31</v>
      </c>
      <c r="C131" s="54">
        <v>2013</v>
      </c>
      <c r="D131" s="55" t="s">
        <v>173</v>
      </c>
      <c r="E131" s="56" t="s">
        <v>227</v>
      </c>
      <c r="F131" s="57">
        <v>15914895</v>
      </c>
    </row>
    <row r="132" spans="2:6" x14ac:dyDescent="0.3">
      <c r="B132" s="53" t="s">
        <v>31</v>
      </c>
      <c r="C132" s="54">
        <v>2013</v>
      </c>
      <c r="D132" s="55" t="s">
        <v>173</v>
      </c>
      <c r="E132" s="56" t="s">
        <v>228</v>
      </c>
      <c r="F132" s="57">
        <v>3045380</v>
      </c>
    </row>
    <row r="133" spans="2:6" x14ac:dyDescent="0.3">
      <c r="B133" s="53" t="s">
        <v>31</v>
      </c>
      <c r="C133" s="54">
        <v>2013</v>
      </c>
      <c r="D133" s="55" t="s">
        <v>173</v>
      </c>
      <c r="E133" s="56" t="s">
        <v>221</v>
      </c>
      <c r="F133" s="57">
        <v>324391553</v>
      </c>
    </row>
    <row r="134" spans="2:6" x14ac:dyDescent="0.3">
      <c r="B134" s="53" t="s">
        <v>31</v>
      </c>
      <c r="C134" s="54">
        <v>2013</v>
      </c>
      <c r="D134" s="55" t="s">
        <v>173</v>
      </c>
      <c r="E134" s="56" t="s">
        <v>222</v>
      </c>
      <c r="F134" s="57">
        <v>7824480</v>
      </c>
    </row>
    <row r="135" spans="2:6" x14ac:dyDescent="0.3">
      <c r="B135" s="53" t="s">
        <v>31</v>
      </c>
      <c r="C135" s="54">
        <v>2013</v>
      </c>
      <c r="D135" s="55" t="s">
        <v>173</v>
      </c>
      <c r="E135" s="56" t="s">
        <v>223</v>
      </c>
      <c r="F135" s="57">
        <v>26832104</v>
      </c>
    </row>
    <row r="136" spans="2:6" x14ac:dyDescent="0.3">
      <c r="B136" s="53" t="s">
        <v>31</v>
      </c>
      <c r="C136" s="54">
        <v>2013</v>
      </c>
      <c r="D136" s="55" t="s">
        <v>173</v>
      </c>
      <c r="E136" s="56" t="s">
        <v>182</v>
      </c>
      <c r="F136" s="57">
        <v>1642</v>
      </c>
    </row>
    <row r="137" spans="2:6" x14ac:dyDescent="0.3">
      <c r="B137" s="53" t="s">
        <v>31</v>
      </c>
      <c r="C137" s="54">
        <v>2013</v>
      </c>
      <c r="D137" s="55" t="s">
        <v>173</v>
      </c>
      <c r="E137" s="56" t="s">
        <v>183</v>
      </c>
      <c r="F137" s="57">
        <v>1130820</v>
      </c>
    </row>
    <row r="138" spans="2:6" ht="43.5" customHeight="1" x14ac:dyDescent="0.3">
      <c r="B138" s="53" t="s">
        <v>31</v>
      </c>
      <c r="C138" s="54">
        <v>2014</v>
      </c>
      <c r="D138" s="58" t="s">
        <v>186</v>
      </c>
      <c r="E138" s="56" t="s">
        <v>229</v>
      </c>
      <c r="F138" s="57">
        <v>4211248</v>
      </c>
    </row>
    <row r="139" spans="2:6" x14ac:dyDescent="0.3">
      <c r="B139" s="53" t="s">
        <v>31</v>
      </c>
      <c r="C139" s="54">
        <v>2014</v>
      </c>
      <c r="D139" s="55" t="s">
        <v>173</v>
      </c>
      <c r="E139" s="58" t="s">
        <v>177</v>
      </c>
      <c r="F139" s="57" t="s">
        <v>24</v>
      </c>
    </row>
    <row r="140" spans="2:6" x14ac:dyDescent="0.3">
      <c r="B140" s="53" t="s">
        <v>31</v>
      </c>
      <c r="C140" s="54">
        <v>2014</v>
      </c>
      <c r="D140" s="55" t="s">
        <v>173</v>
      </c>
      <c r="E140" s="58" t="s">
        <v>188</v>
      </c>
      <c r="F140" s="57" t="s">
        <v>24</v>
      </c>
    </row>
    <row r="141" spans="2:6" x14ac:dyDescent="0.3">
      <c r="B141" s="53" t="s">
        <v>31</v>
      </c>
      <c r="C141" s="54">
        <v>2014</v>
      </c>
      <c r="D141" s="55" t="s">
        <v>173</v>
      </c>
      <c r="E141" s="58" t="s">
        <v>175</v>
      </c>
      <c r="F141" s="57">
        <v>1790465</v>
      </c>
    </row>
    <row r="142" spans="2:6" x14ac:dyDescent="0.3">
      <c r="B142" s="53" t="s">
        <v>31</v>
      </c>
      <c r="C142" s="54">
        <v>2014</v>
      </c>
      <c r="D142" s="55" t="s">
        <v>173</v>
      </c>
      <c r="E142" s="58" t="s">
        <v>230</v>
      </c>
      <c r="F142" s="57">
        <v>18045395</v>
      </c>
    </row>
    <row r="143" spans="2:6" x14ac:dyDescent="0.3">
      <c r="B143" s="53" t="s">
        <v>31</v>
      </c>
      <c r="C143" s="54">
        <v>2014</v>
      </c>
      <c r="D143" s="55" t="s">
        <v>173</v>
      </c>
      <c r="E143" s="58" t="s">
        <v>190</v>
      </c>
      <c r="F143" s="57" t="s">
        <v>24</v>
      </c>
    </row>
    <row r="144" spans="2:6" x14ac:dyDescent="0.3">
      <c r="B144" s="53" t="s">
        <v>31</v>
      </c>
      <c r="C144" s="54">
        <v>2014</v>
      </c>
      <c r="D144" s="55" t="s">
        <v>173</v>
      </c>
      <c r="E144" s="58" t="s">
        <v>226</v>
      </c>
      <c r="F144" s="57">
        <v>835332</v>
      </c>
    </row>
    <row r="145" spans="2:6" x14ac:dyDescent="0.3">
      <c r="B145" s="53" t="s">
        <v>31</v>
      </c>
      <c r="C145" s="54">
        <v>2014</v>
      </c>
      <c r="D145" s="55" t="s">
        <v>173</v>
      </c>
      <c r="E145" s="58" t="s">
        <v>231</v>
      </c>
      <c r="F145" s="57">
        <v>3453060</v>
      </c>
    </row>
    <row r="146" spans="2:6" x14ac:dyDescent="0.3">
      <c r="B146" s="53" t="s">
        <v>31</v>
      </c>
      <c r="C146" s="54">
        <v>2014</v>
      </c>
      <c r="D146" s="55" t="s">
        <v>173</v>
      </c>
      <c r="E146" s="58" t="s">
        <v>221</v>
      </c>
      <c r="F146" s="57">
        <v>443036440</v>
      </c>
    </row>
    <row r="147" spans="2:6" x14ac:dyDescent="0.3">
      <c r="B147" s="53" t="s">
        <v>31</v>
      </c>
      <c r="C147" s="54">
        <v>2014</v>
      </c>
      <c r="D147" s="55" t="s">
        <v>173</v>
      </c>
      <c r="E147" s="58" t="s">
        <v>232</v>
      </c>
      <c r="F147" s="57" t="s">
        <v>24</v>
      </c>
    </row>
    <row r="148" spans="2:6" x14ac:dyDescent="0.3">
      <c r="B148" s="53" t="s">
        <v>31</v>
      </c>
      <c r="C148" s="54">
        <v>2014</v>
      </c>
      <c r="D148" s="55" t="s">
        <v>173</v>
      </c>
      <c r="E148" s="58" t="s">
        <v>195</v>
      </c>
      <c r="F148" s="57" t="s">
        <v>24</v>
      </c>
    </row>
    <row r="149" spans="2:6" x14ac:dyDescent="0.3">
      <c r="B149" s="53" t="s">
        <v>31</v>
      </c>
      <c r="C149" s="54">
        <v>2014</v>
      </c>
      <c r="D149" s="55" t="s">
        <v>173</v>
      </c>
      <c r="E149" s="58" t="s">
        <v>182</v>
      </c>
      <c r="F149" s="57">
        <v>1642</v>
      </c>
    </row>
    <row r="150" spans="2:6" x14ac:dyDescent="0.3">
      <c r="B150" s="53" t="s">
        <v>31</v>
      </c>
      <c r="C150" s="54">
        <v>2014</v>
      </c>
      <c r="D150" s="55" t="s">
        <v>173</v>
      </c>
      <c r="E150" s="58" t="s">
        <v>183</v>
      </c>
      <c r="F150" s="57">
        <v>1260025</v>
      </c>
    </row>
    <row r="151" spans="2:6" ht="69" customHeight="1" x14ac:dyDescent="0.3">
      <c r="B151" s="53" t="s">
        <v>31</v>
      </c>
      <c r="C151" s="54">
        <v>2015</v>
      </c>
      <c r="D151" s="58" t="s">
        <v>186</v>
      </c>
      <c r="E151" s="56" t="s">
        <v>233</v>
      </c>
      <c r="F151" s="57"/>
    </row>
    <row r="152" spans="2:6" x14ac:dyDescent="0.3">
      <c r="B152" s="53" t="s">
        <v>31</v>
      </c>
      <c r="C152" s="54">
        <v>2015</v>
      </c>
      <c r="D152" s="55" t="s">
        <v>173</v>
      </c>
      <c r="E152" s="56" t="s">
        <v>175</v>
      </c>
      <c r="F152" s="57" t="s">
        <v>24</v>
      </c>
    </row>
    <row r="153" spans="2:6" x14ac:dyDescent="0.3">
      <c r="B153" s="53" t="s">
        <v>31</v>
      </c>
      <c r="C153" s="54">
        <v>2015</v>
      </c>
      <c r="D153" s="55" t="s">
        <v>173</v>
      </c>
      <c r="E153" s="56" t="s">
        <v>230</v>
      </c>
      <c r="F153" s="57">
        <v>12470716</v>
      </c>
    </row>
    <row r="154" spans="2:6" x14ac:dyDescent="0.3">
      <c r="B154" s="53" t="s">
        <v>31</v>
      </c>
      <c r="C154" s="54">
        <v>2015</v>
      </c>
      <c r="D154" s="55" t="s">
        <v>173</v>
      </c>
      <c r="E154" s="56" t="s">
        <v>234</v>
      </c>
      <c r="F154" s="57">
        <v>1137272</v>
      </c>
    </row>
    <row r="155" spans="2:6" x14ac:dyDescent="0.3">
      <c r="B155" s="53" t="s">
        <v>31</v>
      </c>
      <c r="C155" s="54">
        <v>2015</v>
      </c>
      <c r="D155" s="55" t="s">
        <v>173</v>
      </c>
      <c r="E155" s="56" t="s">
        <v>235</v>
      </c>
      <c r="F155" s="57">
        <v>4869129</v>
      </c>
    </row>
    <row r="156" spans="2:6" x14ac:dyDescent="0.3">
      <c r="B156" s="53" t="s">
        <v>31</v>
      </c>
      <c r="C156" s="54">
        <v>2015</v>
      </c>
      <c r="D156" s="55" t="s">
        <v>173</v>
      </c>
      <c r="E156" s="56" t="s">
        <v>236</v>
      </c>
      <c r="F156" s="57">
        <v>466880322</v>
      </c>
    </row>
    <row r="157" spans="2:6" ht="13.5" customHeight="1" x14ac:dyDescent="0.3">
      <c r="B157" s="53" t="s">
        <v>31</v>
      </c>
      <c r="C157" s="54">
        <v>2015</v>
      </c>
      <c r="D157" s="55" t="s">
        <v>173</v>
      </c>
      <c r="E157" s="56" t="s">
        <v>182</v>
      </c>
      <c r="F157" s="57">
        <v>1642</v>
      </c>
    </row>
    <row r="158" spans="2:6" ht="13.5" customHeight="1" x14ac:dyDescent="0.3">
      <c r="B158" s="53" t="s">
        <v>31</v>
      </c>
      <c r="C158" s="54"/>
      <c r="D158" s="55"/>
      <c r="E158" s="56" t="s">
        <v>183</v>
      </c>
      <c r="F158" s="57">
        <v>1765312</v>
      </c>
    </row>
    <row r="159" spans="2:6" ht="42" customHeight="1" x14ac:dyDescent="0.3">
      <c r="B159" s="53" t="s">
        <v>31</v>
      </c>
      <c r="C159" s="54">
        <v>2016</v>
      </c>
      <c r="D159" s="58" t="s">
        <v>186</v>
      </c>
      <c r="E159" s="56" t="s">
        <v>237</v>
      </c>
      <c r="F159" s="57">
        <v>4469232</v>
      </c>
    </row>
    <row r="160" spans="2:6" x14ac:dyDescent="0.3">
      <c r="B160" s="53" t="s">
        <v>31</v>
      </c>
      <c r="C160" s="54">
        <v>2016</v>
      </c>
      <c r="D160" s="55" t="s">
        <v>173</v>
      </c>
      <c r="E160" s="56" t="s">
        <v>230</v>
      </c>
      <c r="F160" s="57" t="s">
        <v>24</v>
      </c>
    </row>
    <row r="161" spans="2:6" x14ac:dyDescent="0.3">
      <c r="B161" s="53" t="s">
        <v>31</v>
      </c>
      <c r="C161" s="54">
        <v>2016</v>
      </c>
      <c r="D161" s="55" t="s">
        <v>173</v>
      </c>
      <c r="E161" s="56" t="s">
        <v>234</v>
      </c>
      <c r="F161" s="57">
        <v>757442</v>
      </c>
    </row>
    <row r="162" spans="2:6" x14ac:dyDescent="0.3">
      <c r="B162" s="53" t="s">
        <v>31</v>
      </c>
      <c r="C162" s="54">
        <v>2016</v>
      </c>
      <c r="D162" s="55" t="s">
        <v>173</v>
      </c>
      <c r="E162" s="56" t="s">
        <v>238</v>
      </c>
      <c r="F162" s="57">
        <v>3891105</v>
      </c>
    </row>
    <row r="163" spans="2:6" x14ac:dyDescent="0.3">
      <c r="B163" s="53" t="s">
        <v>31</v>
      </c>
      <c r="C163" s="54">
        <v>2016</v>
      </c>
      <c r="D163" s="55" t="s">
        <v>173</v>
      </c>
      <c r="E163" s="56" t="s">
        <v>236</v>
      </c>
      <c r="F163" s="57">
        <v>37590500</v>
      </c>
    </row>
    <row r="164" spans="2:6" x14ac:dyDescent="0.3">
      <c r="B164" s="53" t="s">
        <v>31</v>
      </c>
      <c r="C164" s="54">
        <v>2016</v>
      </c>
      <c r="D164" s="55" t="s">
        <v>173</v>
      </c>
      <c r="E164" s="56" t="s">
        <v>182</v>
      </c>
      <c r="F164" s="57">
        <v>1642</v>
      </c>
    </row>
    <row r="165" spans="2:6" x14ac:dyDescent="0.3">
      <c r="B165" s="53" t="s">
        <v>31</v>
      </c>
      <c r="C165" s="54">
        <v>2016</v>
      </c>
      <c r="D165" s="55" t="s">
        <v>173</v>
      </c>
      <c r="E165" s="56" t="s">
        <v>183</v>
      </c>
      <c r="F165" s="57">
        <v>1272037</v>
      </c>
    </row>
    <row r="166" spans="2:6" ht="28.8" x14ac:dyDescent="0.3">
      <c r="B166" s="53" t="s">
        <v>31</v>
      </c>
      <c r="C166" s="54">
        <v>2017</v>
      </c>
      <c r="D166" s="58" t="s">
        <v>186</v>
      </c>
      <c r="E166" s="56"/>
      <c r="F166" s="57"/>
    </row>
    <row r="167" spans="2:6" x14ac:dyDescent="0.3">
      <c r="B167" s="53" t="s">
        <v>31</v>
      </c>
      <c r="C167" s="54">
        <v>2017</v>
      </c>
      <c r="D167" s="55" t="s">
        <v>173</v>
      </c>
      <c r="E167" s="56" t="s">
        <v>226</v>
      </c>
      <c r="F167" s="57">
        <v>688195</v>
      </c>
    </row>
    <row r="168" spans="2:6" x14ac:dyDescent="0.3">
      <c r="B168" s="53" t="s">
        <v>31</v>
      </c>
      <c r="C168" s="54">
        <v>2017</v>
      </c>
      <c r="D168" s="55" t="s">
        <v>173</v>
      </c>
      <c r="E168" s="56" t="s">
        <v>239</v>
      </c>
      <c r="F168" s="57">
        <v>3774031</v>
      </c>
    </row>
    <row r="169" spans="2:6" x14ac:dyDescent="0.3">
      <c r="B169" s="53" t="s">
        <v>31</v>
      </c>
      <c r="C169" s="54">
        <v>2017</v>
      </c>
      <c r="D169" s="55" t="s">
        <v>173</v>
      </c>
      <c r="E169" s="56" t="s">
        <v>221</v>
      </c>
      <c r="F169" s="57">
        <v>374261522</v>
      </c>
    </row>
    <row r="170" spans="2:6" x14ac:dyDescent="0.3">
      <c r="B170" s="53" t="s">
        <v>31</v>
      </c>
      <c r="C170" s="54">
        <v>2017</v>
      </c>
      <c r="D170" s="55" t="s">
        <v>173</v>
      </c>
      <c r="E170" s="56" t="s">
        <v>182</v>
      </c>
      <c r="F170" s="57">
        <v>1151856</v>
      </c>
    </row>
    <row r="171" spans="2:6" x14ac:dyDescent="0.3">
      <c r="B171" s="53" t="s">
        <v>31</v>
      </c>
      <c r="C171" s="54">
        <v>2017</v>
      </c>
      <c r="D171" s="55" t="s">
        <v>173</v>
      </c>
      <c r="E171" s="56" t="s">
        <v>183</v>
      </c>
      <c r="F171" s="57" t="s">
        <v>24</v>
      </c>
    </row>
    <row r="172" spans="2:6" x14ac:dyDescent="0.3">
      <c r="B172" s="46" t="s">
        <v>240</v>
      </c>
      <c r="C172" s="47">
        <v>2002</v>
      </c>
      <c r="D172" s="48" t="s">
        <v>241</v>
      </c>
      <c r="E172" s="49"/>
      <c r="F172" s="50">
        <v>393083</v>
      </c>
    </row>
    <row r="173" spans="2:6" x14ac:dyDescent="0.3">
      <c r="B173" s="46" t="s">
        <v>240</v>
      </c>
      <c r="C173" s="47">
        <v>2002</v>
      </c>
      <c r="D173" s="48" t="s">
        <v>31</v>
      </c>
      <c r="E173" s="49"/>
      <c r="F173" s="50">
        <v>312149</v>
      </c>
    </row>
    <row r="174" spans="2:6" ht="129.6" x14ac:dyDescent="0.3">
      <c r="B174" s="46" t="s">
        <v>240</v>
      </c>
      <c r="C174" s="47">
        <v>2002</v>
      </c>
      <c r="D174" s="48" t="s">
        <v>242</v>
      </c>
      <c r="E174" s="49" t="s">
        <v>243</v>
      </c>
      <c r="F174" s="50">
        <v>4914235</v>
      </c>
    </row>
    <row r="175" spans="2:6" x14ac:dyDescent="0.3">
      <c r="B175" s="46" t="s">
        <v>240</v>
      </c>
      <c r="C175" s="47">
        <v>2002</v>
      </c>
      <c r="D175" s="48" t="s">
        <v>244</v>
      </c>
      <c r="E175" s="49"/>
      <c r="F175" s="50">
        <v>198831</v>
      </c>
    </row>
    <row r="176" spans="2:6" x14ac:dyDescent="0.3">
      <c r="B176" s="46" t="s">
        <v>240</v>
      </c>
      <c r="C176" s="47">
        <v>2003</v>
      </c>
      <c r="D176" s="48" t="s">
        <v>241</v>
      </c>
      <c r="E176" s="49"/>
      <c r="F176" s="50">
        <v>377507</v>
      </c>
    </row>
    <row r="177" spans="2:6" x14ac:dyDescent="0.3">
      <c r="B177" s="46" t="s">
        <v>240</v>
      </c>
      <c r="C177" s="47">
        <v>2003</v>
      </c>
      <c r="D177" s="48" t="s">
        <v>31</v>
      </c>
      <c r="E177" s="49"/>
      <c r="F177" s="50">
        <v>361032</v>
      </c>
    </row>
    <row r="178" spans="2:6" ht="115.2" x14ac:dyDescent="0.3">
      <c r="B178" s="46" t="s">
        <v>240</v>
      </c>
      <c r="C178" s="47">
        <v>2003</v>
      </c>
      <c r="D178" s="48" t="s">
        <v>242</v>
      </c>
      <c r="E178" s="49" t="s">
        <v>245</v>
      </c>
      <c r="F178" s="50">
        <v>7729699</v>
      </c>
    </row>
    <row r="179" spans="2:6" x14ac:dyDescent="0.3">
      <c r="B179" s="46" t="s">
        <v>240</v>
      </c>
      <c r="C179" s="47">
        <v>2003</v>
      </c>
      <c r="D179" s="48" t="s">
        <v>244</v>
      </c>
      <c r="E179" s="49"/>
      <c r="F179" s="50">
        <v>146960</v>
      </c>
    </row>
    <row r="180" spans="2:6" x14ac:dyDescent="0.3">
      <c r="B180" s="46" t="s">
        <v>240</v>
      </c>
      <c r="C180" s="47">
        <v>2004</v>
      </c>
      <c r="D180" s="48" t="s">
        <v>241</v>
      </c>
      <c r="E180" s="49"/>
      <c r="F180" s="50">
        <v>413228</v>
      </c>
    </row>
    <row r="181" spans="2:6" x14ac:dyDescent="0.3">
      <c r="B181" s="46" t="s">
        <v>240</v>
      </c>
      <c r="C181" s="47">
        <v>2004</v>
      </c>
      <c r="D181" s="48" t="s">
        <v>31</v>
      </c>
      <c r="E181" s="49"/>
      <c r="F181" s="50">
        <v>407359</v>
      </c>
    </row>
    <row r="182" spans="2:6" ht="115.2" x14ac:dyDescent="0.3">
      <c r="B182" s="46" t="s">
        <v>240</v>
      </c>
      <c r="C182" s="47">
        <v>2004</v>
      </c>
      <c r="D182" s="48" t="s">
        <v>242</v>
      </c>
      <c r="E182" s="49" t="s">
        <v>246</v>
      </c>
      <c r="F182" s="50">
        <v>10380658</v>
      </c>
    </row>
    <row r="183" spans="2:6" x14ac:dyDescent="0.3">
      <c r="B183" s="46" t="s">
        <v>240</v>
      </c>
      <c r="C183" s="47">
        <v>2004</v>
      </c>
      <c r="D183" s="48" t="s">
        <v>244</v>
      </c>
      <c r="E183" s="49"/>
      <c r="F183" s="50">
        <v>225208</v>
      </c>
    </row>
    <row r="184" spans="2:6" ht="129.6" x14ac:dyDescent="0.3">
      <c r="B184" s="46" t="s">
        <v>240</v>
      </c>
      <c r="C184" s="47">
        <v>2005</v>
      </c>
      <c r="D184" s="48" t="s">
        <v>242</v>
      </c>
      <c r="E184" s="49" t="s">
        <v>247</v>
      </c>
      <c r="F184" s="50">
        <v>11105749</v>
      </c>
    </row>
    <row r="185" spans="2:6" x14ac:dyDescent="0.3">
      <c r="B185" s="46" t="s">
        <v>240</v>
      </c>
      <c r="C185" s="47">
        <v>2005</v>
      </c>
      <c r="D185" s="48" t="s">
        <v>31</v>
      </c>
      <c r="E185" s="49"/>
      <c r="F185" s="50">
        <v>538196</v>
      </c>
    </row>
    <row r="186" spans="2:6" x14ac:dyDescent="0.3">
      <c r="B186" s="46" t="s">
        <v>240</v>
      </c>
      <c r="C186" s="47">
        <v>2005</v>
      </c>
      <c r="D186" s="48" t="s">
        <v>248</v>
      </c>
      <c r="E186" s="49"/>
      <c r="F186" s="50">
        <v>22376</v>
      </c>
    </row>
    <row r="187" spans="2:6" x14ac:dyDescent="0.3">
      <c r="B187" s="46" t="s">
        <v>240</v>
      </c>
      <c r="C187" s="47">
        <v>2005</v>
      </c>
      <c r="D187" s="48" t="s">
        <v>249</v>
      </c>
      <c r="E187" s="49"/>
      <c r="F187" s="50">
        <v>483153</v>
      </c>
    </row>
    <row r="188" spans="2:6" x14ac:dyDescent="0.3">
      <c r="B188" s="46" t="s">
        <v>240</v>
      </c>
      <c r="C188" s="47">
        <v>2005</v>
      </c>
      <c r="D188" s="48" t="s">
        <v>250</v>
      </c>
      <c r="E188" s="49"/>
      <c r="F188" s="50">
        <v>190931</v>
      </c>
    </row>
    <row r="189" spans="2:6" x14ac:dyDescent="0.3">
      <c r="B189" s="46" t="s">
        <v>240</v>
      </c>
      <c r="C189" s="47">
        <v>2005</v>
      </c>
      <c r="D189" s="48" t="s">
        <v>251</v>
      </c>
      <c r="E189" s="49"/>
      <c r="F189" s="50">
        <v>15473</v>
      </c>
    </row>
    <row r="190" spans="2:6" x14ac:dyDescent="0.3">
      <c r="B190" s="46" t="s">
        <v>240</v>
      </c>
      <c r="C190" s="47">
        <v>2005</v>
      </c>
      <c r="D190" s="48" t="s">
        <v>244</v>
      </c>
      <c r="E190" s="49"/>
      <c r="F190" s="50">
        <v>43363</v>
      </c>
    </row>
    <row r="191" spans="2:6" ht="129.6" x14ac:dyDescent="0.3">
      <c r="B191" s="46" t="s">
        <v>240</v>
      </c>
      <c r="C191" s="47">
        <v>2006</v>
      </c>
      <c r="D191" s="48" t="s">
        <v>242</v>
      </c>
      <c r="E191" s="49" t="s">
        <v>247</v>
      </c>
      <c r="F191" s="50">
        <v>15601949</v>
      </c>
    </row>
    <row r="192" spans="2:6" x14ac:dyDescent="0.3">
      <c r="B192" s="46" t="s">
        <v>240</v>
      </c>
      <c r="C192" s="47">
        <v>2006</v>
      </c>
      <c r="D192" s="48" t="s">
        <v>31</v>
      </c>
      <c r="E192" s="49"/>
      <c r="F192" s="50">
        <v>611841</v>
      </c>
    </row>
    <row r="193" spans="2:6" x14ac:dyDescent="0.3">
      <c r="B193" s="46" t="s">
        <v>240</v>
      </c>
      <c r="C193" s="47">
        <v>2006</v>
      </c>
      <c r="D193" s="48" t="s">
        <v>248</v>
      </c>
      <c r="E193" s="49"/>
      <c r="F193" s="50">
        <v>24008</v>
      </c>
    </row>
    <row r="194" spans="2:6" x14ac:dyDescent="0.3">
      <c r="B194" s="46" t="s">
        <v>240</v>
      </c>
      <c r="C194" s="47">
        <v>2006</v>
      </c>
      <c r="D194" s="48" t="s">
        <v>249</v>
      </c>
      <c r="E194" s="49"/>
      <c r="F194" s="50">
        <v>493736</v>
      </c>
    </row>
    <row r="195" spans="2:6" x14ac:dyDescent="0.3">
      <c r="B195" s="46" t="s">
        <v>240</v>
      </c>
      <c r="C195" s="47">
        <v>2006</v>
      </c>
      <c r="D195" s="48" t="s">
        <v>250</v>
      </c>
      <c r="E195" s="49"/>
      <c r="F195" s="50">
        <v>216732</v>
      </c>
    </row>
    <row r="196" spans="2:6" x14ac:dyDescent="0.3">
      <c r="B196" s="46" t="s">
        <v>240</v>
      </c>
      <c r="C196" s="47">
        <v>2006</v>
      </c>
      <c r="D196" s="48" t="s">
        <v>251</v>
      </c>
      <c r="E196" s="49"/>
      <c r="F196" s="50">
        <v>15801</v>
      </c>
    </row>
    <row r="197" spans="2:6" x14ac:dyDescent="0.3">
      <c r="B197" s="46" t="s">
        <v>240</v>
      </c>
      <c r="C197" s="47">
        <v>2006</v>
      </c>
      <c r="D197" s="48" t="s">
        <v>244</v>
      </c>
      <c r="E197" s="49"/>
      <c r="F197" s="50">
        <v>82713</v>
      </c>
    </row>
    <row r="198" spans="2:6" ht="129.6" x14ac:dyDescent="0.3">
      <c r="B198" s="46" t="s">
        <v>240</v>
      </c>
      <c r="C198" s="47">
        <v>2007</v>
      </c>
      <c r="D198" s="48" t="s">
        <v>242</v>
      </c>
      <c r="E198" s="49" t="s">
        <v>247</v>
      </c>
      <c r="F198" s="50">
        <v>19190257</v>
      </c>
    </row>
    <row r="199" spans="2:6" x14ac:dyDescent="0.3">
      <c r="B199" s="46" t="s">
        <v>240</v>
      </c>
      <c r="C199" s="47">
        <v>2007</v>
      </c>
      <c r="D199" s="48" t="s">
        <v>31</v>
      </c>
      <c r="E199" s="49"/>
      <c r="F199" s="50">
        <v>756025</v>
      </c>
    </row>
    <row r="200" spans="2:6" x14ac:dyDescent="0.3">
      <c r="B200" s="46" t="s">
        <v>240</v>
      </c>
      <c r="C200" s="47">
        <v>2007</v>
      </c>
      <c r="D200" s="48" t="s">
        <v>252</v>
      </c>
      <c r="E200" s="49"/>
      <c r="F200" s="50">
        <v>115546</v>
      </c>
    </row>
    <row r="201" spans="2:6" x14ac:dyDescent="0.3">
      <c r="B201" s="46" t="s">
        <v>240</v>
      </c>
      <c r="C201" s="47">
        <v>2007</v>
      </c>
      <c r="D201" s="48" t="s">
        <v>241</v>
      </c>
      <c r="E201" s="49"/>
      <c r="F201" s="50">
        <v>563936</v>
      </c>
    </row>
    <row r="202" spans="2:6" x14ac:dyDescent="0.3">
      <c r="B202" s="46" t="s">
        <v>240</v>
      </c>
      <c r="C202" s="47">
        <v>2007</v>
      </c>
      <c r="D202" s="48" t="s">
        <v>244</v>
      </c>
      <c r="E202" s="49"/>
      <c r="F202" s="50">
        <v>39385</v>
      </c>
    </row>
    <row r="203" spans="2:6" ht="129.6" x14ac:dyDescent="0.3">
      <c r="B203" s="46" t="s">
        <v>240</v>
      </c>
      <c r="C203" s="47">
        <v>2008</v>
      </c>
      <c r="D203" s="48" t="s">
        <v>242</v>
      </c>
      <c r="E203" s="49" t="s">
        <v>253</v>
      </c>
      <c r="F203" s="50">
        <v>26954719</v>
      </c>
    </row>
    <row r="204" spans="2:6" x14ac:dyDescent="0.3">
      <c r="B204" s="46" t="s">
        <v>240</v>
      </c>
      <c r="C204" s="47">
        <v>2008</v>
      </c>
      <c r="D204" s="48" t="s">
        <v>31</v>
      </c>
      <c r="E204" s="49"/>
      <c r="F204" s="50">
        <v>1377309</v>
      </c>
    </row>
    <row r="205" spans="2:6" x14ac:dyDescent="0.3">
      <c r="B205" s="46" t="s">
        <v>240</v>
      </c>
      <c r="C205" s="47">
        <v>2008</v>
      </c>
      <c r="D205" s="48" t="s">
        <v>252</v>
      </c>
      <c r="E205" s="49"/>
      <c r="F205" s="50">
        <v>197680</v>
      </c>
    </row>
    <row r="206" spans="2:6" x14ac:dyDescent="0.3">
      <c r="B206" s="46" t="s">
        <v>240</v>
      </c>
      <c r="C206" s="47">
        <v>2008</v>
      </c>
      <c r="D206" s="48" t="s">
        <v>241</v>
      </c>
      <c r="E206" s="49"/>
      <c r="F206" s="50">
        <v>590816</v>
      </c>
    </row>
    <row r="207" spans="2:6" x14ac:dyDescent="0.3">
      <c r="B207" s="46" t="s">
        <v>240</v>
      </c>
      <c r="C207" s="47">
        <v>2008</v>
      </c>
      <c r="D207" s="48" t="s">
        <v>244</v>
      </c>
      <c r="E207" s="49"/>
      <c r="F207" s="50">
        <v>2</v>
      </c>
    </row>
    <row r="208" spans="2:6" ht="115.2" x14ac:dyDescent="0.3">
      <c r="B208" s="46" t="s">
        <v>240</v>
      </c>
      <c r="C208" s="47">
        <v>2009</v>
      </c>
      <c r="D208" s="48" t="s">
        <v>242</v>
      </c>
      <c r="E208" s="49" t="s">
        <v>254</v>
      </c>
      <c r="F208" s="50">
        <v>37857482</v>
      </c>
    </row>
    <row r="209" spans="2:6" x14ac:dyDescent="0.3">
      <c r="B209" s="46" t="s">
        <v>240</v>
      </c>
      <c r="C209" s="47">
        <v>2009</v>
      </c>
      <c r="D209" s="48" t="s">
        <v>31</v>
      </c>
      <c r="E209" s="49"/>
      <c r="F209" s="50">
        <v>2467753</v>
      </c>
    </row>
    <row r="210" spans="2:6" x14ac:dyDescent="0.3">
      <c r="B210" s="46" t="s">
        <v>240</v>
      </c>
      <c r="C210" s="47">
        <v>2009</v>
      </c>
      <c r="D210" s="48" t="s">
        <v>241</v>
      </c>
      <c r="E210" s="49"/>
      <c r="F210" s="50">
        <v>567701</v>
      </c>
    </row>
    <row r="211" spans="2:6" x14ac:dyDescent="0.3">
      <c r="B211" s="46" t="s">
        <v>240</v>
      </c>
      <c r="C211" s="47">
        <v>2009</v>
      </c>
      <c r="D211" s="48" t="s">
        <v>244</v>
      </c>
      <c r="E211" s="49"/>
      <c r="F211" s="50">
        <v>217044</v>
      </c>
    </row>
    <row r="212" spans="2:6" ht="115.2" x14ac:dyDescent="0.3">
      <c r="B212" s="46" t="s">
        <v>240</v>
      </c>
      <c r="C212" s="47">
        <v>2010</v>
      </c>
      <c r="D212" s="48" t="s">
        <v>242</v>
      </c>
      <c r="E212" s="49" t="s">
        <v>254</v>
      </c>
      <c r="F212" s="50">
        <v>54172591</v>
      </c>
    </row>
    <row r="213" spans="2:6" x14ac:dyDescent="0.3">
      <c r="B213" s="46" t="s">
        <v>240</v>
      </c>
      <c r="C213" s="47">
        <v>2010</v>
      </c>
      <c r="D213" s="48" t="s">
        <v>31</v>
      </c>
      <c r="E213" s="49"/>
      <c r="F213" s="50">
        <v>6023854</v>
      </c>
    </row>
    <row r="214" spans="2:6" ht="44.25" customHeight="1" x14ac:dyDescent="0.3">
      <c r="B214" s="46" t="s">
        <v>240</v>
      </c>
      <c r="C214" s="47">
        <v>2010</v>
      </c>
      <c r="D214" s="48" t="s">
        <v>241</v>
      </c>
      <c r="E214" s="49"/>
      <c r="F214" s="50">
        <v>595447</v>
      </c>
    </row>
    <row r="215" spans="2:6" ht="44.25" customHeight="1" x14ac:dyDescent="0.3">
      <c r="B215" s="46" t="s">
        <v>240</v>
      </c>
      <c r="C215" s="47">
        <v>2010</v>
      </c>
      <c r="D215" s="48" t="s">
        <v>244</v>
      </c>
      <c r="E215" s="49"/>
      <c r="F215" s="50">
        <v>219081</v>
      </c>
    </row>
    <row r="216" spans="2:6" ht="44.25" customHeight="1" x14ac:dyDescent="0.3">
      <c r="B216" s="46" t="s">
        <v>240</v>
      </c>
      <c r="C216" s="47">
        <v>2011</v>
      </c>
      <c r="D216" s="48" t="s">
        <v>242</v>
      </c>
      <c r="E216" s="49" t="s">
        <v>255</v>
      </c>
      <c r="F216" s="50">
        <v>80599183</v>
      </c>
    </row>
    <row r="217" spans="2:6" ht="44.25" customHeight="1" x14ac:dyDescent="0.3">
      <c r="B217" s="46" t="s">
        <v>240</v>
      </c>
      <c r="C217" s="47">
        <v>2011</v>
      </c>
      <c r="D217" s="48" t="s">
        <v>31</v>
      </c>
      <c r="E217" s="49"/>
      <c r="F217" s="50">
        <v>10272737</v>
      </c>
    </row>
    <row r="218" spans="2:6" ht="44.25" customHeight="1" x14ac:dyDescent="0.3">
      <c r="B218" s="46" t="s">
        <v>240</v>
      </c>
      <c r="C218" s="47">
        <v>2011</v>
      </c>
      <c r="D218" s="48" t="s">
        <v>241</v>
      </c>
      <c r="E218" s="49"/>
      <c r="F218" s="50">
        <v>567622</v>
      </c>
    </row>
    <row r="219" spans="2:6" x14ac:dyDescent="0.3">
      <c r="B219" s="46" t="s">
        <v>240</v>
      </c>
      <c r="C219" s="47">
        <v>2011</v>
      </c>
      <c r="D219" s="48" t="s">
        <v>244</v>
      </c>
      <c r="E219" s="49"/>
      <c r="F219" s="50">
        <v>176182</v>
      </c>
    </row>
    <row r="220" spans="2:6" ht="115.2" x14ac:dyDescent="0.3">
      <c r="B220" s="46" t="s">
        <v>240</v>
      </c>
      <c r="C220" s="47">
        <v>2012</v>
      </c>
      <c r="D220" s="48" t="s">
        <v>242</v>
      </c>
      <c r="E220" s="49" t="s">
        <v>256</v>
      </c>
      <c r="F220" s="50">
        <v>104796216</v>
      </c>
    </row>
    <row r="221" spans="2:6" x14ac:dyDescent="0.3">
      <c r="B221" s="46" t="s">
        <v>240</v>
      </c>
      <c r="C221" s="47">
        <v>2012</v>
      </c>
      <c r="D221" s="48" t="s">
        <v>31</v>
      </c>
      <c r="E221" s="49"/>
      <c r="F221" s="50">
        <v>17556030</v>
      </c>
    </row>
    <row r="222" spans="2:6" x14ac:dyDescent="0.3">
      <c r="B222" s="46" t="s">
        <v>240</v>
      </c>
      <c r="C222" s="47">
        <v>2012</v>
      </c>
      <c r="D222" s="48" t="s">
        <v>241</v>
      </c>
      <c r="E222" s="49"/>
      <c r="F222" s="50">
        <v>755602</v>
      </c>
    </row>
    <row r="223" spans="2:6" ht="39.75" customHeight="1" x14ac:dyDescent="0.3">
      <c r="B223" s="46" t="s">
        <v>240</v>
      </c>
      <c r="C223" s="47">
        <v>2012</v>
      </c>
      <c r="D223" s="48" t="s">
        <v>244</v>
      </c>
      <c r="E223" s="49"/>
      <c r="F223" s="50">
        <v>629591</v>
      </c>
    </row>
    <row r="224" spans="2:6" ht="21.75" customHeight="1" x14ac:dyDescent="0.3">
      <c r="B224" s="46" t="s">
        <v>240</v>
      </c>
      <c r="C224" s="47">
        <v>2013</v>
      </c>
      <c r="D224" s="48" t="s">
        <v>242</v>
      </c>
      <c r="E224" s="49" t="s">
        <v>257</v>
      </c>
      <c r="F224" s="50">
        <v>132732425</v>
      </c>
    </row>
    <row r="225" spans="2:6" x14ac:dyDescent="0.3">
      <c r="B225" s="46" t="s">
        <v>240</v>
      </c>
      <c r="C225" s="47">
        <v>2013</v>
      </c>
      <c r="D225" s="48" t="s">
        <v>31</v>
      </c>
      <c r="E225" s="49"/>
      <c r="F225" s="50">
        <v>23631046</v>
      </c>
    </row>
    <row r="226" spans="2:6" x14ac:dyDescent="0.3">
      <c r="B226" s="46" t="s">
        <v>240</v>
      </c>
      <c r="C226" s="47">
        <v>2013</v>
      </c>
      <c r="D226" s="48" t="s">
        <v>241</v>
      </c>
      <c r="E226" s="49"/>
      <c r="F226" s="50">
        <v>659562</v>
      </c>
    </row>
    <row r="227" spans="2:6" x14ac:dyDescent="0.3">
      <c r="B227" s="46" t="s">
        <v>240</v>
      </c>
      <c r="C227" s="47">
        <v>2013</v>
      </c>
      <c r="D227" s="48" t="s">
        <v>244</v>
      </c>
      <c r="E227" s="49"/>
      <c r="F227" s="50">
        <v>1299146</v>
      </c>
    </row>
    <row r="228" spans="2:6" ht="158.4" x14ac:dyDescent="0.3">
      <c r="B228" s="46" t="s">
        <v>240</v>
      </c>
      <c r="C228" s="47">
        <v>2014</v>
      </c>
      <c r="D228" s="48" t="s">
        <v>242</v>
      </c>
      <c r="E228" s="49" t="s">
        <v>258</v>
      </c>
      <c r="F228" s="50">
        <v>145033444</v>
      </c>
    </row>
    <row r="229" spans="2:6" x14ac:dyDescent="0.3">
      <c r="B229" s="46" t="s">
        <v>240</v>
      </c>
      <c r="C229" s="47">
        <v>2014</v>
      </c>
      <c r="D229" s="48" t="s">
        <v>31</v>
      </c>
      <c r="E229" s="49"/>
      <c r="F229" s="50">
        <v>29705446</v>
      </c>
    </row>
    <row r="230" spans="2:6" x14ac:dyDescent="0.3">
      <c r="B230" s="46" t="s">
        <v>240</v>
      </c>
      <c r="C230" s="47">
        <v>2014</v>
      </c>
      <c r="D230" s="48" t="s">
        <v>241</v>
      </c>
      <c r="E230" s="49"/>
      <c r="F230" s="50">
        <v>780580</v>
      </c>
    </row>
    <row r="231" spans="2:6" x14ac:dyDescent="0.3">
      <c r="B231" s="46" t="s">
        <v>240</v>
      </c>
      <c r="C231" s="47">
        <v>2014</v>
      </c>
      <c r="D231" s="48" t="s">
        <v>244</v>
      </c>
      <c r="E231" s="49"/>
      <c r="F231" s="50">
        <v>1912128</v>
      </c>
    </row>
    <row r="232" spans="2:6" ht="187.2" x14ac:dyDescent="0.3">
      <c r="B232" s="46" t="s">
        <v>240</v>
      </c>
      <c r="C232" s="47">
        <v>2015</v>
      </c>
      <c r="D232" s="48" t="s">
        <v>242</v>
      </c>
      <c r="E232" s="49" t="s">
        <v>259</v>
      </c>
      <c r="F232" s="50">
        <v>172210084</v>
      </c>
    </row>
    <row r="233" spans="2:6" x14ac:dyDescent="0.3">
      <c r="B233" s="46" t="s">
        <v>240</v>
      </c>
      <c r="C233" s="47">
        <v>2015</v>
      </c>
      <c r="D233" s="48" t="s">
        <v>31</v>
      </c>
      <c r="E233" s="49"/>
      <c r="F233" s="50">
        <v>32377811</v>
      </c>
    </row>
    <row r="234" spans="2:6" x14ac:dyDescent="0.3">
      <c r="B234" s="46" t="s">
        <v>240</v>
      </c>
      <c r="C234" s="47">
        <v>2015</v>
      </c>
      <c r="D234" s="48" t="s">
        <v>241</v>
      </c>
      <c r="E234" s="49"/>
      <c r="F234" s="50">
        <v>687164</v>
      </c>
    </row>
    <row r="235" spans="2:6" x14ac:dyDescent="0.3">
      <c r="B235" s="46" t="s">
        <v>240</v>
      </c>
      <c r="C235" s="47">
        <v>2015</v>
      </c>
      <c r="D235" s="48" t="s">
        <v>260</v>
      </c>
      <c r="E235" s="49"/>
      <c r="F235" s="50">
        <v>2228930</v>
      </c>
    </row>
    <row r="236" spans="2:6" x14ac:dyDescent="0.3">
      <c r="B236" s="46" t="s">
        <v>240</v>
      </c>
      <c r="C236" s="47">
        <v>2015</v>
      </c>
      <c r="D236" s="48" t="s">
        <v>244</v>
      </c>
      <c r="E236" s="49"/>
      <c r="F236" s="50">
        <v>187178</v>
      </c>
    </row>
    <row r="237" spans="2:6" ht="187.2" x14ac:dyDescent="0.3">
      <c r="B237" s="46" t="s">
        <v>240</v>
      </c>
      <c r="C237" s="47">
        <v>2016</v>
      </c>
      <c r="D237" s="48" t="s">
        <v>242</v>
      </c>
      <c r="E237" s="49" t="s">
        <v>261</v>
      </c>
      <c r="F237" s="50">
        <v>204156953</v>
      </c>
    </row>
    <row r="238" spans="2:6" x14ac:dyDescent="0.3">
      <c r="B238" s="46" t="s">
        <v>240</v>
      </c>
      <c r="C238" s="47">
        <v>2016</v>
      </c>
      <c r="D238" s="48" t="s">
        <v>31</v>
      </c>
      <c r="E238" s="49"/>
      <c r="F238" s="50">
        <v>31349361</v>
      </c>
    </row>
    <row r="239" spans="2:6" x14ac:dyDescent="0.3">
      <c r="B239" s="46" t="s">
        <v>240</v>
      </c>
      <c r="C239" s="47">
        <v>2016</v>
      </c>
      <c r="D239" s="48" t="s">
        <v>241</v>
      </c>
      <c r="E239" s="49"/>
      <c r="F239" s="50">
        <v>928282</v>
      </c>
    </row>
    <row r="240" spans="2:6" x14ac:dyDescent="0.3">
      <c r="B240" s="46" t="s">
        <v>240</v>
      </c>
      <c r="C240" s="47">
        <v>2016</v>
      </c>
      <c r="D240" s="48" t="s">
        <v>260</v>
      </c>
      <c r="E240" s="49"/>
      <c r="F240" s="50">
        <v>2256745</v>
      </c>
    </row>
    <row r="241" spans="2:6" x14ac:dyDescent="0.3">
      <c r="B241" s="46"/>
      <c r="C241" s="47">
        <v>2016</v>
      </c>
      <c r="D241" s="48" t="s">
        <v>244</v>
      </c>
      <c r="E241" s="49"/>
      <c r="F241" s="50">
        <v>275080</v>
      </c>
    </row>
    <row r="242" spans="2:6" x14ac:dyDescent="0.3">
      <c r="B242" s="46"/>
      <c r="C242" s="47">
        <v>2017</v>
      </c>
      <c r="D242" s="48" t="s">
        <v>242</v>
      </c>
      <c r="E242" s="49"/>
      <c r="F242" s="50">
        <v>235620378</v>
      </c>
    </row>
    <row r="243" spans="2:6" x14ac:dyDescent="0.3">
      <c r="B243" s="46"/>
      <c r="C243" s="47">
        <v>2017</v>
      </c>
      <c r="D243" s="48" t="s">
        <v>31</v>
      </c>
      <c r="E243" s="49"/>
      <c r="F243" s="50">
        <v>30814153</v>
      </c>
    </row>
    <row r="244" spans="2:6" x14ac:dyDescent="0.3">
      <c r="B244" s="46"/>
      <c r="C244" s="47">
        <v>2017</v>
      </c>
      <c r="D244" s="48" t="s">
        <v>241</v>
      </c>
      <c r="E244" s="49"/>
      <c r="F244" s="50">
        <v>399970</v>
      </c>
    </row>
    <row r="245" spans="2:6" x14ac:dyDescent="0.3">
      <c r="B245" s="46"/>
      <c r="C245" s="47">
        <v>2017</v>
      </c>
      <c r="D245" s="48" t="s">
        <v>260</v>
      </c>
      <c r="E245" s="49"/>
      <c r="F245" s="50">
        <v>2380023</v>
      </c>
    </row>
    <row r="246" spans="2:6" x14ac:dyDescent="0.3">
      <c r="B246" s="46" t="s">
        <v>240</v>
      </c>
      <c r="C246" s="47">
        <v>2017</v>
      </c>
      <c r="D246" s="48" t="s">
        <v>244</v>
      </c>
      <c r="E246" s="49"/>
      <c r="F246" s="50">
        <v>339418</v>
      </c>
    </row>
    <row r="247" spans="2:6" x14ac:dyDescent="0.3">
      <c r="B247" s="7" t="s">
        <v>23</v>
      </c>
      <c r="C247" s="10">
        <v>2002</v>
      </c>
      <c r="D247" s="22" t="s">
        <v>262</v>
      </c>
      <c r="E247" s="19"/>
      <c r="F247" s="27"/>
    </row>
    <row r="248" spans="2:6" x14ac:dyDescent="0.3">
      <c r="B248" s="7" t="s">
        <v>23</v>
      </c>
      <c r="C248" s="11">
        <v>2002</v>
      </c>
      <c r="D248" s="8" t="s">
        <v>263</v>
      </c>
      <c r="E248" s="17" t="s">
        <v>264</v>
      </c>
      <c r="F248" s="28">
        <v>9122</v>
      </c>
    </row>
    <row r="249" spans="2:6" x14ac:dyDescent="0.3">
      <c r="B249" s="7" t="s">
        <v>23</v>
      </c>
      <c r="C249" s="11">
        <v>2002</v>
      </c>
      <c r="D249" s="8" t="s">
        <v>265</v>
      </c>
      <c r="E249" s="17" t="s">
        <v>266</v>
      </c>
      <c r="F249" s="28">
        <v>32959</v>
      </c>
    </row>
    <row r="250" spans="2:6" x14ac:dyDescent="0.3">
      <c r="B250" s="7" t="s">
        <v>23</v>
      </c>
      <c r="C250" s="11">
        <v>2002</v>
      </c>
      <c r="D250" s="8" t="s">
        <v>267</v>
      </c>
      <c r="E250" s="17" t="s">
        <v>268</v>
      </c>
      <c r="F250" s="28">
        <v>7041</v>
      </c>
    </row>
    <row r="251" spans="2:6" x14ac:dyDescent="0.3">
      <c r="B251" s="7" t="s">
        <v>23</v>
      </c>
      <c r="C251" s="11">
        <v>2002</v>
      </c>
      <c r="D251" s="8" t="s">
        <v>269</v>
      </c>
      <c r="E251" s="17" t="s">
        <v>270</v>
      </c>
      <c r="F251" s="28">
        <v>606998</v>
      </c>
    </row>
    <row r="252" spans="2:6" x14ac:dyDescent="0.3">
      <c r="B252" s="7" t="s">
        <v>23</v>
      </c>
      <c r="C252" s="11">
        <v>2002</v>
      </c>
      <c r="D252" s="8" t="s">
        <v>271</v>
      </c>
      <c r="E252" s="17" t="s">
        <v>272</v>
      </c>
      <c r="F252" s="28">
        <v>2899</v>
      </c>
    </row>
    <row r="253" spans="2:6" x14ac:dyDescent="0.3">
      <c r="B253" s="7" t="s">
        <v>23</v>
      </c>
      <c r="C253" s="11">
        <v>2002</v>
      </c>
      <c r="D253" s="8" t="s">
        <v>273</v>
      </c>
      <c r="E253" s="17" t="s">
        <v>274</v>
      </c>
      <c r="F253" s="28">
        <v>349983</v>
      </c>
    </row>
    <row r="254" spans="2:6" x14ac:dyDescent="0.3">
      <c r="B254" s="7" t="s">
        <v>23</v>
      </c>
      <c r="C254" s="11">
        <v>2002</v>
      </c>
      <c r="D254" s="8" t="s">
        <v>275</v>
      </c>
      <c r="E254" s="17" t="s">
        <v>276</v>
      </c>
      <c r="F254" s="28">
        <v>15212</v>
      </c>
    </row>
    <row r="255" spans="2:6" x14ac:dyDescent="0.3">
      <c r="B255" s="7" t="s">
        <v>23</v>
      </c>
      <c r="C255" s="11">
        <v>2002</v>
      </c>
      <c r="D255" s="8" t="s">
        <v>277</v>
      </c>
      <c r="E255" s="17" t="s">
        <v>278</v>
      </c>
      <c r="F255" s="28">
        <v>35064</v>
      </c>
    </row>
    <row r="256" spans="2:6" x14ac:dyDescent="0.3">
      <c r="B256" s="7" t="s">
        <v>23</v>
      </c>
      <c r="C256" s="11">
        <v>2002</v>
      </c>
      <c r="D256" s="8" t="s">
        <v>279</v>
      </c>
      <c r="E256" s="17" t="s">
        <v>280</v>
      </c>
      <c r="F256" s="28">
        <v>4254</v>
      </c>
    </row>
    <row r="257" spans="2:6" x14ac:dyDescent="0.3">
      <c r="B257" s="7" t="s">
        <v>23</v>
      </c>
      <c r="C257" s="12">
        <v>2002</v>
      </c>
      <c r="D257" s="14" t="s">
        <v>281</v>
      </c>
      <c r="E257" s="33" t="s">
        <v>282</v>
      </c>
      <c r="F257" s="29">
        <v>117616</v>
      </c>
    </row>
    <row r="258" spans="2:6" ht="57.6" x14ac:dyDescent="0.3">
      <c r="B258" s="7" t="s">
        <v>23</v>
      </c>
      <c r="C258" s="11">
        <v>2002</v>
      </c>
      <c r="D258" s="20" t="s">
        <v>31</v>
      </c>
      <c r="E258" s="17" t="s">
        <v>283</v>
      </c>
      <c r="F258" s="28">
        <v>2570656</v>
      </c>
    </row>
    <row r="259" spans="2:6" ht="72" x14ac:dyDescent="0.3">
      <c r="B259" s="7" t="s">
        <v>23</v>
      </c>
      <c r="C259" s="15">
        <v>2002</v>
      </c>
      <c r="D259" s="21" t="s">
        <v>284</v>
      </c>
      <c r="E259" s="18" t="s">
        <v>285</v>
      </c>
      <c r="F259" s="30">
        <v>1786726</v>
      </c>
    </row>
    <row r="260" spans="2:6" x14ac:dyDescent="0.3">
      <c r="B260" s="7" t="s">
        <v>23</v>
      </c>
      <c r="C260" s="11">
        <v>2002</v>
      </c>
      <c r="D260" s="20" t="s">
        <v>98</v>
      </c>
      <c r="E260" s="17"/>
      <c r="F260" s="28">
        <v>16</v>
      </c>
    </row>
    <row r="261" spans="2:6" x14ac:dyDescent="0.3">
      <c r="B261" s="7" t="s">
        <v>23</v>
      </c>
      <c r="C261" s="10">
        <v>2002</v>
      </c>
      <c r="D261" s="22" t="s">
        <v>286</v>
      </c>
      <c r="E261" s="19"/>
      <c r="F261" s="27"/>
    </row>
    <row r="262" spans="2:6" ht="28.8" x14ac:dyDescent="0.3">
      <c r="B262" s="7" t="s">
        <v>23</v>
      </c>
      <c r="C262" s="12">
        <v>2002</v>
      </c>
      <c r="D262" s="34" t="s">
        <v>287</v>
      </c>
      <c r="E262" s="33" t="s">
        <v>288</v>
      </c>
      <c r="F262" s="29">
        <v>24128</v>
      </c>
    </row>
    <row r="263" spans="2:6" x14ac:dyDescent="0.3">
      <c r="B263" s="7" t="s">
        <v>23</v>
      </c>
      <c r="C263" s="12">
        <v>2002</v>
      </c>
      <c r="D263" s="45" t="s">
        <v>289</v>
      </c>
      <c r="E263" s="33"/>
      <c r="F263" s="29">
        <v>5921072</v>
      </c>
    </row>
    <row r="264" spans="2:6" x14ac:dyDescent="0.3">
      <c r="B264" s="7" t="s">
        <v>23</v>
      </c>
      <c r="C264" s="11">
        <v>2003</v>
      </c>
      <c r="D264" s="20" t="s">
        <v>262</v>
      </c>
      <c r="E264" s="17"/>
      <c r="F264" s="28"/>
    </row>
    <row r="265" spans="2:6" x14ac:dyDescent="0.3">
      <c r="B265" s="7" t="s">
        <v>23</v>
      </c>
      <c r="C265" s="11">
        <v>2003</v>
      </c>
      <c r="D265" s="8" t="s">
        <v>277</v>
      </c>
      <c r="E265" s="17" t="s">
        <v>290</v>
      </c>
      <c r="F265" s="28">
        <v>36704</v>
      </c>
    </row>
    <row r="266" spans="2:6" x14ac:dyDescent="0.3">
      <c r="B266" s="7" t="s">
        <v>23</v>
      </c>
      <c r="C266" s="11">
        <v>2003</v>
      </c>
      <c r="D266" s="8" t="s">
        <v>279</v>
      </c>
      <c r="E266" s="17" t="s">
        <v>291</v>
      </c>
      <c r="F266" s="28"/>
    </row>
    <row r="267" spans="2:6" x14ac:dyDescent="0.3">
      <c r="B267" s="7" t="s">
        <v>23</v>
      </c>
      <c r="C267" s="11">
        <v>2003</v>
      </c>
      <c r="D267" s="8" t="s">
        <v>271</v>
      </c>
      <c r="E267" s="17" t="s">
        <v>292</v>
      </c>
      <c r="F267" s="28">
        <v>2451</v>
      </c>
    </row>
    <row r="268" spans="2:6" x14ac:dyDescent="0.3">
      <c r="B268" s="7" t="s">
        <v>23</v>
      </c>
      <c r="C268" s="11">
        <v>2003</v>
      </c>
      <c r="D268" s="8" t="s">
        <v>263</v>
      </c>
      <c r="E268" s="17" t="s">
        <v>293</v>
      </c>
      <c r="F268" s="28">
        <v>5073</v>
      </c>
    </row>
    <row r="269" spans="2:6" ht="28.8" x14ac:dyDescent="0.3">
      <c r="B269" s="7" t="s">
        <v>23</v>
      </c>
      <c r="C269" s="11">
        <v>2003</v>
      </c>
      <c r="D269" s="8" t="s">
        <v>294</v>
      </c>
      <c r="E269" s="17" t="s">
        <v>295</v>
      </c>
      <c r="F269" s="28"/>
    </row>
    <row r="270" spans="2:6" x14ac:dyDescent="0.3">
      <c r="B270" s="7" t="s">
        <v>23</v>
      </c>
      <c r="C270" s="11">
        <v>2003</v>
      </c>
      <c r="D270" s="8" t="s">
        <v>275</v>
      </c>
      <c r="E270" s="17" t="s">
        <v>296</v>
      </c>
      <c r="F270" s="28">
        <v>29397</v>
      </c>
    </row>
    <row r="271" spans="2:6" x14ac:dyDescent="0.3">
      <c r="B271" s="7" t="s">
        <v>23</v>
      </c>
      <c r="C271" s="11">
        <v>2003</v>
      </c>
      <c r="D271" s="8" t="s">
        <v>269</v>
      </c>
      <c r="E271" s="17" t="s">
        <v>297</v>
      </c>
      <c r="F271" s="28">
        <v>1292390</v>
      </c>
    </row>
    <row r="272" spans="2:6" x14ac:dyDescent="0.3">
      <c r="B272" s="7" t="s">
        <v>23</v>
      </c>
      <c r="C272" s="12">
        <v>2003</v>
      </c>
      <c r="D272" s="14" t="s">
        <v>273</v>
      </c>
      <c r="E272" s="33" t="s">
        <v>298</v>
      </c>
      <c r="F272" s="29">
        <v>327071</v>
      </c>
    </row>
    <row r="273" spans="2:6" x14ac:dyDescent="0.3">
      <c r="B273" s="7" t="s">
        <v>23</v>
      </c>
      <c r="C273" s="10">
        <v>2003</v>
      </c>
      <c r="D273" s="22" t="s">
        <v>299</v>
      </c>
      <c r="E273" s="19"/>
      <c r="F273" s="27"/>
    </row>
    <row r="274" spans="2:6" ht="28.8" x14ac:dyDescent="0.3">
      <c r="B274" s="7" t="s">
        <v>23</v>
      </c>
      <c r="C274" s="11">
        <v>2003</v>
      </c>
      <c r="D274" s="31" t="s">
        <v>267</v>
      </c>
      <c r="E274" s="17" t="s">
        <v>300</v>
      </c>
      <c r="F274" s="28">
        <v>3332</v>
      </c>
    </row>
    <row r="275" spans="2:6" x14ac:dyDescent="0.3">
      <c r="B275" s="7" t="s">
        <v>23</v>
      </c>
      <c r="C275" s="12">
        <v>2003</v>
      </c>
      <c r="D275" s="34" t="s">
        <v>281</v>
      </c>
      <c r="E275" s="33" t="s">
        <v>282</v>
      </c>
      <c r="F275" s="29">
        <v>132925</v>
      </c>
    </row>
    <row r="276" spans="2:6" ht="57.6" x14ac:dyDescent="0.3">
      <c r="B276" s="7" t="s">
        <v>23</v>
      </c>
      <c r="C276" s="11">
        <v>2003</v>
      </c>
      <c r="D276" s="20" t="s">
        <v>31</v>
      </c>
      <c r="E276" s="17" t="s">
        <v>301</v>
      </c>
      <c r="F276" s="28">
        <v>2931961</v>
      </c>
    </row>
    <row r="277" spans="2:6" ht="72" x14ac:dyDescent="0.3">
      <c r="B277" s="7" t="s">
        <v>23</v>
      </c>
      <c r="C277" s="15">
        <v>2003</v>
      </c>
      <c r="D277" s="21" t="s">
        <v>284</v>
      </c>
      <c r="E277" s="18" t="s">
        <v>302</v>
      </c>
      <c r="F277" s="30">
        <v>2140317</v>
      </c>
    </row>
    <row r="278" spans="2:6" x14ac:dyDescent="0.3">
      <c r="B278" s="7" t="s">
        <v>23</v>
      </c>
      <c r="C278" s="10">
        <v>2003</v>
      </c>
      <c r="D278" s="22" t="s">
        <v>286</v>
      </c>
      <c r="E278" s="19"/>
      <c r="F278" s="27"/>
    </row>
    <row r="279" spans="2:6" x14ac:dyDescent="0.3">
      <c r="B279" s="7" t="s">
        <v>23</v>
      </c>
      <c r="C279" s="11">
        <v>2003</v>
      </c>
      <c r="D279" s="31" t="s">
        <v>303</v>
      </c>
      <c r="E279" s="17"/>
      <c r="F279" s="28">
        <v>1387</v>
      </c>
    </row>
    <row r="280" spans="2:6" x14ac:dyDescent="0.3">
      <c r="B280" s="7" t="s">
        <v>23</v>
      </c>
      <c r="C280" s="11">
        <v>2003</v>
      </c>
      <c r="D280" s="31" t="s">
        <v>304</v>
      </c>
      <c r="E280" s="17"/>
      <c r="F280" s="28">
        <v>16327</v>
      </c>
    </row>
    <row r="281" spans="2:6" ht="43.2" x14ac:dyDescent="0.3">
      <c r="B281" s="7" t="s">
        <v>23</v>
      </c>
      <c r="C281" s="11">
        <v>2003</v>
      </c>
      <c r="D281" s="31" t="s">
        <v>287</v>
      </c>
      <c r="E281" s="17" t="s">
        <v>305</v>
      </c>
      <c r="F281" s="28">
        <v>538559</v>
      </c>
    </row>
    <row r="282" spans="2:6" x14ac:dyDescent="0.3">
      <c r="B282" s="7" t="s">
        <v>23</v>
      </c>
      <c r="C282" s="12">
        <v>2003</v>
      </c>
      <c r="D282" s="32" t="s">
        <v>306</v>
      </c>
      <c r="E282" s="33"/>
      <c r="F282" s="29">
        <v>402</v>
      </c>
    </row>
    <row r="283" spans="2:6" x14ac:dyDescent="0.3">
      <c r="B283" s="7" t="s">
        <v>23</v>
      </c>
      <c r="C283" s="12">
        <v>2003</v>
      </c>
      <c r="D283" s="14" t="s">
        <v>289</v>
      </c>
      <c r="E283" s="33"/>
      <c r="F283" s="29">
        <v>7458297</v>
      </c>
    </row>
    <row r="284" spans="2:6" x14ac:dyDescent="0.3">
      <c r="B284" s="7" t="s">
        <v>23</v>
      </c>
      <c r="C284" s="11">
        <v>2004</v>
      </c>
      <c r="D284" s="20" t="s">
        <v>262</v>
      </c>
      <c r="E284" s="17"/>
      <c r="F284" s="28"/>
    </row>
    <row r="285" spans="2:6" x14ac:dyDescent="0.3">
      <c r="B285" s="7" t="s">
        <v>23</v>
      </c>
      <c r="C285" s="11">
        <v>2004</v>
      </c>
      <c r="D285" s="8" t="s">
        <v>277</v>
      </c>
      <c r="E285" s="17" t="s">
        <v>290</v>
      </c>
      <c r="F285" s="28">
        <v>37408</v>
      </c>
    </row>
    <row r="286" spans="2:6" x14ac:dyDescent="0.3">
      <c r="B286" s="7" t="s">
        <v>23</v>
      </c>
      <c r="C286" s="11">
        <v>2004</v>
      </c>
      <c r="D286" s="8" t="s">
        <v>271</v>
      </c>
      <c r="E286" s="17" t="s">
        <v>307</v>
      </c>
      <c r="F286" s="28"/>
    </row>
    <row r="287" spans="2:6" x14ac:dyDescent="0.3">
      <c r="B287" s="7" t="s">
        <v>23</v>
      </c>
      <c r="C287" s="11">
        <v>2004</v>
      </c>
      <c r="D287" s="8" t="s">
        <v>263</v>
      </c>
      <c r="E287" s="17" t="s">
        <v>293</v>
      </c>
      <c r="F287" s="28"/>
    </row>
    <row r="288" spans="2:6" x14ac:dyDescent="0.3">
      <c r="B288" s="7" t="s">
        <v>23</v>
      </c>
      <c r="C288" s="11">
        <v>2004</v>
      </c>
      <c r="D288" s="8" t="s">
        <v>275</v>
      </c>
      <c r="E288" s="17" t="s">
        <v>308</v>
      </c>
      <c r="F288" s="28">
        <v>36593</v>
      </c>
    </row>
    <row r="289" spans="2:6" x14ac:dyDescent="0.3">
      <c r="B289" s="7" t="s">
        <v>23</v>
      </c>
      <c r="C289" s="11">
        <v>2004</v>
      </c>
      <c r="D289" s="8" t="s">
        <v>269</v>
      </c>
      <c r="E289" s="17" t="s">
        <v>309</v>
      </c>
      <c r="F289" s="28">
        <v>2994534</v>
      </c>
    </row>
    <row r="290" spans="2:6" x14ac:dyDescent="0.3">
      <c r="B290" s="7" t="s">
        <v>23</v>
      </c>
      <c r="C290" s="11">
        <v>2004</v>
      </c>
      <c r="D290" s="8" t="s">
        <v>273</v>
      </c>
      <c r="E290" s="17" t="s">
        <v>310</v>
      </c>
      <c r="F290" s="28">
        <v>292791</v>
      </c>
    </row>
    <row r="291" spans="2:6" x14ac:dyDescent="0.3">
      <c r="B291" s="7" t="s">
        <v>23</v>
      </c>
      <c r="C291" s="12">
        <v>2004</v>
      </c>
      <c r="D291" s="34" t="s">
        <v>311</v>
      </c>
      <c r="E291" s="33"/>
      <c r="F291" s="29">
        <v>3</v>
      </c>
    </row>
    <row r="292" spans="2:6" x14ac:dyDescent="0.3">
      <c r="B292" s="7" t="s">
        <v>23</v>
      </c>
      <c r="C292" s="10">
        <v>2004</v>
      </c>
      <c r="D292" s="22" t="s">
        <v>299</v>
      </c>
      <c r="E292" s="19"/>
      <c r="F292" s="27"/>
    </row>
    <row r="293" spans="2:6" ht="28.8" x14ac:dyDescent="0.3">
      <c r="B293" s="7" t="s">
        <v>23</v>
      </c>
      <c r="C293" s="11">
        <v>2004</v>
      </c>
      <c r="D293" s="31" t="s">
        <v>267</v>
      </c>
      <c r="E293" s="17" t="s">
        <v>312</v>
      </c>
      <c r="F293" s="28"/>
    </row>
    <row r="294" spans="2:6" x14ac:dyDescent="0.3">
      <c r="B294" s="7" t="s">
        <v>23</v>
      </c>
      <c r="C294" s="12">
        <v>2004</v>
      </c>
      <c r="D294" s="34" t="s">
        <v>281</v>
      </c>
      <c r="E294" s="33" t="s">
        <v>282</v>
      </c>
      <c r="F294" s="29"/>
    </row>
    <row r="295" spans="2:6" ht="57.6" x14ac:dyDescent="0.3">
      <c r="B295" s="7" t="s">
        <v>23</v>
      </c>
      <c r="C295" s="11">
        <v>2004</v>
      </c>
      <c r="D295" s="20" t="s">
        <v>31</v>
      </c>
      <c r="E295" s="17" t="s">
        <v>313</v>
      </c>
      <c r="F295" s="28">
        <v>3559403</v>
      </c>
    </row>
    <row r="296" spans="2:6" ht="72" x14ac:dyDescent="0.3">
      <c r="B296" s="7" t="s">
        <v>23</v>
      </c>
      <c r="C296" s="15">
        <v>2004</v>
      </c>
      <c r="D296" s="21" t="s">
        <v>284</v>
      </c>
      <c r="E296" s="18" t="s">
        <v>314</v>
      </c>
      <c r="F296" s="30">
        <v>3025847</v>
      </c>
    </row>
    <row r="297" spans="2:6" x14ac:dyDescent="0.3">
      <c r="B297" s="7" t="s">
        <v>23</v>
      </c>
      <c r="C297" s="10">
        <v>2004</v>
      </c>
      <c r="D297" s="22" t="s">
        <v>286</v>
      </c>
      <c r="E297" s="19"/>
      <c r="F297" s="27"/>
    </row>
    <row r="298" spans="2:6" x14ac:dyDescent="0.3">
      <c r="B298" s="7" t="s">
        <v>23</v>
      </c>
      <c r="C298" s="11">
        <v>2004</v>
      </c>
      <c r="D298" s="31" t="s">
        <v>303</v>
      </c>
      <c r="E298" s="17"/>
      <c r="F298" s="28">
        <v>1222</v>
      </c>
    </row>
    <row r="299" spans="2:6" x14ac:dyDescent="0.3">
      <c r="B299" s="7" t="s">
        <v>23</v>
      </c>
      <c r="C299" s="11">
        <v>2004</v>
      </c>
      <c r="D299" s="31" t="s">
        <v>304</v>
      </c>
      <c r="E299" s="17"/>
      <c r="F299" s="28">
        <v>13108</v>
      </c>
    </row>
    <row r="300" spans="2:6" ht="43.2" x14ac:dyDescent="0.3">
      <c r="B300" s="7" t="s">
        <v>23</v>
      </c>
      <c r="C300" s="11">
        <v>2004</v>
      </c>
      <c r="D300" s="31" t="s">
        <v>287</v>
      </c>
      <c r="E300" s="17" t="s">
        <v>315</v>
      </c>
      <c r="F300" s="28">
        <v>650124</v>
      </c>
    </row>
    <row r="301" spans="2:6" x14ac:dyDescent="0.3">
      <c r="B301" s="7" t="s">
        <v>23</v>
      </c>
      <c r="C301" s="12">
        <v>2004</v>
      </c>
      <c r="D301" s="32" t="s">
        <v>306</v>
      </c>
      <c r="E301" s="33"/>
      <c r="F301" s="29">
        <v>320</v>
      </c>
    </row>
    <row r="302" spans="2:6" x14ac:dyDescent="0.3">
      <c r="B302" s="7" t="s">
        <v>23</v>
      </c>
      <c r="C302" s="12">
        <v>2004</v>
      </c>
      <c r="D302" s="14" t="s">
        <v>289</v>
      </c>
      <c r="E302" s="33"/>
      <c r="F302" s="29">
        <v>10611353</v>
      </c>
    </row>
    <row r="303" spans="2:6" x14ac:dyDescent="0.3">
      <c r="B303" s="7" t="s">
        <v>23</v>
      </c>
      <c r="C303" s="10">
        <v>2005</v>
      </c>
      <c r="D303" s="22" t="s">
        <v>262</v>
      </c>
      <c r="E303" s="19"/>
      <c r="F303" s="27"/>
    </row>
    <row r="304" spans="2:6" x14ac:dyDescent="0.3">
      <c r="B304" s="7" t="s">
        <v>23</v>
      </c>
      <c r="C304" s="11">
        <v>2005</v>
      </c>
      <c r="D304" s="8" t="s">
        <v>277</v>
      </c>
      <c r="E304" s="17" t="s">
        <v>290</v>
      </c>
      <c r="F304" s="28">
        <v>38496</v>
      </c>
    </row>
    <row r="305" spans="2:6" x14ac:dyDescent="0.3">
      <c r="B305" s="7" t="s">
        <v>23</v>
      </c>
      <c r="C305" s="11">
        <v>2005</v>
      </c>
      <c r="D305" s="8" t="s">
        <v>275</v>
      </c>
      <c r="E305" s="17" t="s">
        <v>308</v>
      </c>
      <c r="F305" s="28">
        <v>40890</v>
      </c>
    </row>
    <row r="306" spans="2:6" ht="28.8" x14ac:dyDescent="0.3">
      <c r="B306" s="7" t="s">
        <v>23</v>
      </c>
      <c r="C306" s="11">
        <v>2005</v>
      </c>
      <c r="D306" s="8" t="s">
        <v>316</v>
      </c>
      <c r="E306" s="17" t="s">
        <v>317</v>
      </c>
      <c r="F306" s="28">
        <v>3819216</v>
      </c>
    </row>
    <row r="307" spans="2:6" x14ac:dyDescent="0.3">
      <c r="B307" s="7" t="s">
        <v>23</v>
      </c>
      <c r="C307" s="12">
        <v>2005</v>
      </c>
      <c r="D307" s="34" t="s">
        <v>273</v>
      </c>
      <c r="E307" s="33" t="s">
        <v>310</v>
      </c>
      <c r="F307" s="29">
        <v>257917</v>
      </c>
    </row>
    <row r="308" spans="2:6" ht="57.6" x14ac:dyDescent="0.3">
      <c r="B308" s="7" t="s">
        <v>23</v>
      </c>
      <c r="C308" s="11">
        <v>2005</v>
      </c>
      <c r="D308" s="20" t="s">
        <v>31</v>
      </c>
      <c r="E308" s="17" t="s">
        <v>318</v>
      </c>
      <c r="F308" s="28">
        <v>3908357</v>
      </c>
    </row>
    <row r="309" spans="2:6" ht="86.4" x14ac:dyDescent="0.3">
      <c r="B309" s="7" t="s">
        <v>23</v>
      </c>
      <c r="C309" s="15">
        <v>2005</v>
      </c>
      <c r="D309" s="21" t="s">
        <v>284</v>
      </c>
      <c r="E309" s="18" t="s">
        <v>319</v>
      </c>
      <c r="F309" s="30">
        <v>4750005</v>
      </c>
    </row>
    <row r="310" spans="2:6" x14ac:dyDescent="0.3">
      <c r="B310" s="7" t="s">
        <v>23</v>
      </c>
      <c r="C310" s="10">
        <v>2005</v>
      </c>
      <c r="D310" s="22" t="s">
        <v>286</v>
      </c>
      <c r="E310" s="19"/>
      <c r="F310" s="27"/>
    </row>
    <row r="311" spans="2:6" x14ac:dyDescent="0.3">
      <c r="B311" s="7" t="s">
        <v>23</v>
      </c>
      <c r="C311" s="11">
        <v>2005</v>
      </c>
      <c r="D311" s="31" t="s">
        <v>303</v>
      </c>
      <c r="E311" s="17"/>
      <c r="F311" s="28">
        <v>1042</v>
      </c>
    </row>
    <row r="312" spans="2:6" x14ac:dyDescent="0.3">
      <c r="B312" s="7" t="s">
        <v>23</v>
      </c>
      <c r="C312" s="11">
        <v>2005</v>
      </c>
      <c r="D312" s="31" t="s">
        <v>304</v>
      </c>
      <c r="E312" s="17"/>
      <c r="F312" s="28">
        <v>10338</v>
      </c>
    </row>
    <row r="313" spans="2:6" ht="43.2" x14ac:dyDescent="0.3">
      <c r="B313" s="7" t="s">
        <v>23</v>
      </c>
      <c r="C313" s="11">
        <v>2005</v>
      </c>
      <c r="D313" s="31" t="s">
        <v>287</v>
      </c>
      <c r="E313" s="17" t="s">
        <v>315</v>
      </c>
      <c r="F313" s="28">
        <v>543853</v>
      </c>
    </row>
    <row r="314" spans="2:6" x14ac:dyDescent="0.3">
      <c r="B314" s="7" t="s">
        <v>23</v>
      </c>
      <c r="C314" s="12">
        <v>2005</v>
      </c>
      <c r="D314" s="32" t="s">
        <v>306</v>
      </c>
      <c r="E314" s="33"/>
      <c r="F314" s="29">
        <v>304</v>
      </c>
    </row>
    <row r="315" spans="2:6" x14ac:dyDescent="0.3">
      <c r="B315" s="7" t="s">
        <v>23</v>
      </c>
      <c r="C315" s="12">
        <v>2005</v>
      </c>
      <c r="D315" s="14" t="s">
        <v>289</v>
      </c>
      <c r="E315" s="33"/>
      <c r="F315" s="29">
        <v>13370418</v>
      </c>
    </row>
    <row r="316" spans="2:6" x14ac:dyDescent="0.3">
      <c r="B316" s="7" t="s">
        <v>23</v>
      </c>
      <c r="C316" s="11">
        <v>2006</v>
      </c>
      <c r="D316" s="20" t="s">
        <v>262</v>
      </c>
      <c r="E316" s="17"/>
      <c r="F316" s="28"/>
    </row>
    <row r="317" spans="2:6" x14ac:dyDescent="0.3">
      <c r="B317" s="7" t="s">
        <v>23</v>
      </c>
      <c r="C317" s="11">
        <v>2006</v>
      </c>
      <c r="D317" s="8" t="s">
        <v>277</v>
      </c>
      <c r="E317" s="17" t="s">
        <v>290</v>
      </c>
      <c r="F317" s="28">
        <v>39320</v>
      </c>
    </row>
    <row r="318" spans="2:6" ht="28.8" x14ac:dyDescent="0.3">
      <c r="B318" s="7" t="s">
        <v>23</v>
      </c>
      <c r="C318" s="11">
        <v>2006</v>
      </c>
      <c r="D318" s="8" t="s">
        <v>275</v>
      </c>
      <c r="E318" s="17" t="s">
        <v>320</v>
      </c>
      <c r="F318" s="28">
        <v>43486</v>
      </c>
    </row>
    <row r="319" spans="2:6" ht="28.8" x14ac:dyDescent="0.3">
      <c r="B319" s="7" t="s">
        <v>23</v>
      </c>
      <c r="C319" s="11">
        <v>2006</v>
      </c>
      <c r="D319" s="8" t="s">
        <v>316</v>
      </c>
      <c r="E319" s="17" t="s">
        <v>321</v>
      </c>
      <c r="F319" s="28">
        <v>2681949</v>
      </c>
    </row>
    <row r="320" spans="2:6" x14ac:dyDescent="0.3">
      <c r="B320" s="7" t="s">
        <v>23</v>
      </c>
      <c r="C320" s="12">
        <v>2006</v>
      </c>
      <c r="D320" s="34" t="s">
        <v>273</v>
      </c>
      <c r="E320" s="33" t="s">
        <v>310</v>
      </c>
      <c r="F320" s="29">
        <v>224043</v>
      </c>
    </row>
    <row r="321" spans="2:6" ht="57.6" x14ac:dyDescent="0.3">
      <c r="B321" s="7" t="s">
        <v>23</v>
      </c>
      <c r="C321" s="11">
        <v>2006</v>
      </c>
      <c r="D321" s="20" t="s">
        <v>31</v>
      </c>
      <c r="E321" s="17" t="s">
        <v>322</v>
      </c>
      <c r="F321" s="28">
        <v>4657642</v>
      </c>
    </row>
    <row r="322" spans="2:6" ht="86.4" x14ac:dyDescent="0.3">
      <c r="B322" s="7" t="s">
        <v>23</v>
      </c>
      <c r="C322" s="15">
        <v>2006</v>
      </c>
      <c r="D322" s="21" t="s">
        <v>284</v>
      </c>
      <c r="E322" s="41" t="s">
        <v>323</v>
      </c>
      <c r="F322" s="30">
        <v>6003916</v>
      </c>
    </row>
    <row r="323" spans="2:6" x14ac:dyDescent="0.3">
      <c r="B323" s="7" t="s">
        <v>23</v>
      </c>
      <c r="C323" s="10">
        <v>2006</v>
      </c>
      <c r="D323" s="22" t="s">
        <v>286</v>
      </c>
      <c r="E323" s="19"/>
      <c r="F323" s="27"/>
    </row>
    <row r="324" spans="2:6" x14ac:dyDescent="0.3">
      <c r="B324" s="7" t="s">
        <v>23</v>
      </c>
      <c r="C324" s="11">
        <v>2006</v>
      </c>
      <c r="D324" s="31" t="s">
        <v>303</v>
      </c>
      <c r="E324" s="17"/>
      <c r="F324" s="28">
        <v>831</v>
      </c>
    </row>
    <row r="325" spans="2:6" x14ac:dyDescent="0.3">
      <c r="B325" s="7" t="s">
        <v>23</v>
      </c>
      <c r="C325" s="11">
        <v>2006</v>
      </c>
      <c r="D325" s="31" t="s">
        <v>304</v>
      </c>
      <c r="E325" s="17"/>
      <c r="F325" s="28">
        <v>9659</v>
      </c>
    </row>
    <row r="326" spans="2:6" ht="43.2" x14ac:dyDescent="0.3">
      <c r="B326" s="7" t="s">
        <v>23</v>
      </c>
      <c r="C326" s="11">
        <v>2006</v>
      </c>
      <c r="D326" s="31" t="s">
        <v>287</v>
      </c>
      <c r="E326" s="17" t="s">
        <v>324</v>
      </c>
      <c r="F326" s="28">
        <v>673490</v>
      </c>
    </row>
    <row r="327" spans="2:6" x14ac:dyDescent="0.3">
      <c r="B327" s="7" t="s">
        <v>23</v>
      </c>
      <c r="C327" s="11">
        <v>2006</v>
      </c>
      <c r="D327" s="35" t="s">
        <v>306</v>
      </c>
      <c r="E327" s="17"/>
      <c r="F327" s="28">
        <v>307</v>
      </c>
    </row>
    <row r="328" spans="2:6" x14ac:dyDescent="0.3">
      <c r="B328" s="7" t="s">
        <v>23</v>
      </c>
      <c r="C328" s="12">
        <v>2006</v>
      </c>
      <c r="D328" s="14" t="s">
        <v>289</v>
      </c>
      <c r="E328" s="33"/>
      <c r="F328" s="29">
        <v>14334643</v>
      </c>
    </row>
    <row r="329" spans="2:6" x14ac:dyDescent="0.3">
      <c r="B329" s="7" t="s">
        <v>23</v>
      </c>
      <c r="C329" s="11">
        <v>2007</v>
      </c>
      <c r="D329" s="20" t="s">
        <v>262</v>
      </c>
      <c r="E329" s="17"/>
      <c r="F329" s="28"/>
    </row>
    <row r="330" spans="2:6" x14ac:dyDescent="0.3">
      <c r="B330" s="7" t="s">
        <v>23</v>
      </c>
      <c r="C330" s="11">
        <v>2007</v>
      </c>
      <c r="D330" s="8" t="s">
        <v>277</v>
      </c>
      <c r="E330" s="17" t="s">
        <v>290</v>
      </c>
      <c r="F330" s="28">
        <v>39934</v>
      </c>
    </row>
    <row r="331" spans="2:6" ht="28.8" x14ac:dyDescent="0.3">
      <c r="B331" s="7" t="s">
        <v>23</v>
      </c>
      <c r="C331" s="11">
        <v>2007</v>
      </c>
      <c r="D331" s="8" t="s">
        <v>275</v>
      </c>
      <c r="E331" s="17" t="s">
        <v>320</v>
      </c>
      <c r="F331" s="28">
        <v>45337</v>
      </c>
    </row>
    <row r="332" spans="2:6" ht="28.8" x14ac:dyDescent="0.3">
      <c r="B332" s="7" t="s">
        <v>23</v>
      </c>
      <c r="C332" s="11">
        <v>2007</v>
      </c>
      <c r="D332" s="8" t="s">
        <v>316</v>
      </c>
      <c r="E332" s="17" t="s">
        <v>325</v>
      </c>
      <c r="F332" s="28">
        <v>2894859</v>
      </c>
    </row>
    <row r="333" spans="2:6" x14ac:dyDescent="0.3">
      <c r="B333" s="7" t="s">
        <v>23</v>
      </c>
      <c r="C333" s="11">
        <v>2007</v>
      </c>
      <c r="D333" s="31" t="s">
        <v>273</v>
      </c>
      <c r="E333" s="17" t="s">
        <v>310</v>
      </c>
      <c r="F333" s="28">
        <v>203786</v>
      </c>
    </row>
    <row r="334" spans="2:6" x14ac:dyDescent="0.3">
      <c r="B334" s="7" t="s">
        <v>23</v>
      </c>
      <c r="C334" s="12">
        <v>2007</v>
      </c>
      <c r="D334" s="34" t="s">
        <v>311</v>
      </c>
      <c r="E334" s="33" t="s">
        <v>24</v>
      </c>
      <c r="F334" s="29">
        <v>1354</v>
      </c>
    </row>
    <row r="335" spans="2:6" ht="28.8" x14ac:dyDescent="0.3">
      <c r="B335" s="7" t="s">
        <v>23</v>
      </c>
      <c r="C335" s="11">
        <v>2007</v>
      </c>
      <c r="D335" s="20" t="s">
        <v>31</v>
      </c>
      <c r="E335" s="17" t="s">
        <v>326</v>
      </c>
      <c r="F335" s="28">
        <v>8713218</v>
      </c>
    </row>
    <row r="336" spans="2:6" ht="28.8" x14ac:dyDescent="0.3">
      <c r="B336" s="7" t="s">
        <v>23</v>
      </c>
      <c r="C336" s="15">
        <v>2007</v>
      </c>
      <c r="D336" s="21" t="s">
        <v>284</v>
      </c>
      <c r="E336" s="18" t="s">
        <v>327</v>
      </c>
      <c r="F336" s="30">
        <v>4865858</v>
      </c>
    </row>
    <row r="337" spans="2:6" x14ac:dyDescent="0.3">
      <c r="B337" s="7" t="s">
        <v>23</v>
      </c>
      <c r="C337" s="10">
        <v>2007</v>
      </c>
      <c r="D337" s="22" t="s">
        <v>286</v>
      </c>
      <c r="E337" s="19" t="s">
        <v>24</v>
      </c>
      <c r="F337" s="27"/>
    </row>
    <row r="338" spans="2:6" ht="28.8" x14ac:dyDescent="0.3">
      <c r="B338" s="7" t="s">
        <v>23</v>
      </c>
      <c r="C338" s="11">
        <v>2007</v>
      </c>
      <c r="D338" s="31" t="s">
        <v>287</v>
      </c>
      <c r="E338" s="17" t="s">
        <v>328</v>
      </c>
      <c r="F338" s="28">
        <v>713250</v>
      </c>
    </row>
    <row r="339" spans="2:6" x14ac:dyDescent="0.3">
      <c r="B339" s="7" t="s">
        <v>23</v>
      </c>
      <c r="C339" s="12">
        <v>2007</v>
      </c>
      <c r="D339" s="32" t="s">
        <v>306</v>
      </c>
      <c r="E339" s="33" t="s">
        <v>24</v>
      </c>
      <c r="F339" s="29">
        <v>9631</v>
      </c>
    </row>
    <row r="340" spans="2:6" x14ac:dyDescent="0.3">
      <c r="B340" s="7" t="s">
        <v>23</v>
      </c>
      <c r="C340" s="12">
        <v>2007</v>
      </c>
      <c r="D340" s="14" t="s">
        <v>289</v>
      </c>
      <c r="E340" s="33"/>
      <c r="F340" s="29">
        <v>17487227</v>
      </c>
    </row>
    <row r="341" spans="2:6" x14ac:dyDescent="0.3">
      <c r="B341" s="7" t="s">
        <v>23</v>
      </c>
      <c r="C341" s="11">
        <v>2008</v>
      </c>
      <c r="D341" s="20" t="s">
        <v>262</v>
      </c>
      <c r="E341" s="17"/>
      <c r="F341" s="28"/>
    </row>
    <row r="342" spans="2:6" x14ac:dyDescent="0.3">
      <c r="B342" s="7" t="s">
        <v>23</v>
      </c>
      <c r="C342" s="11">
        <v>2008</v>
      </c>
      <c r="D342" s="8" t="s">
        <v>277</v>
      </c>
      <c r="E342" s="17" t="s">
        <v>329</v>
      </c>
      <c r="F342" s="28">
        <v>40635</v>
      </c>
    </row>
    <row r="343" spans="2:6" x14ac:dyDescent="0.3">
      <c r="B343" s="7" t="s">
        <v>23</v>
      </c>
      <c r="C343" s="11">
        <v>2008</v>
      </c>
      <c r="D343" s="8" t="s">
        <v>275</v>
      </c>
      <c r="E343" s="17" t="s">
        <v>296</v>
      </c>
      <c r="F343" s="28">
        <v>65597</v>
      </c>
    </row>
    <row r="344" spans="2:6" ht="28.8" x14ac:dyDescent="0.3">
      <c r="B344" s="7" t="s">
        <v>23</v>
      </c>
      <c r="C344" s="11">
        <v>2008</v>
      </c>
      <c r="D344" s="8" t="s">
        <v>316</v>
      </c>
      <c r="E344" s="17" t="s">
        <v>330</v>
      </c>
      <c r="F344" s="28">
        <v>32201636</v>
      </c>
    </row>
    <row r="345" spans="2:6" x14ac:dyDescent="0.3">
      <c r="B345" s="7" t="s">
        <v>23</v>
      </c>
      <c r="C345" s="11">
        <v>2008</v>
      </c>
      <c r="D345" s="31" t="s">
        <v>273</v>
      </c>
      <c r="E345" s="17" t="s">
        <v>331</v>
      </c>
      <c r="F345" s="28">
        <v>175843</v>
      </c>
    </row>
    <row r="346" spans="2:6" x14ac:dyDescent="0.3">
      <c r="B346" s="7" t="s">
        <v>23</v>
      </c>
      <c r="C346" s="12">
        <v>2008</v>
      </c>
      <c r="D346" s="34" t="s">
        <v>311</v>
      </c>
      <c r="E346" s="33" t="s">
        <v>24</v>
      </c>
      <c r="F346" s="29">
        <v>1355</v>
      </c>
    </row>
    <row r="347" spans="2:6" ht="28.8" x14ac:dyDescent="0.3">
      <c r="B347" s="7" t="s">
        <v>23</v>
      </c>
      <c r="C347" s="11">
        <v>2008</v>
      </c>
      <c r="D347" s="20" t="s">
        <v>31</v>
      </c>
      <c r="E347" s="17" t="s">
        <v>332</v>
      </c>
      <c r="F347" s="28">
        <v>11167753</v>
      </c>
    </row>
    <row r="348" spans="2:6" ht="28.8" x14ac:dyDescent="0.3">
      <c r="B348" s="7" t="s">
        <v>23</v>
      </c>
      <c r="C348" s="15">
        <v>2008</v>
      </c>
      <c r="D348" s="21" t="s">
        <v>284</v>
      </c>
      <c r="E348" s="18" t="s">
        <v>333</v>
      </c>
      <c r="F348" s="30">
        <v>6584776</v>
      </c>
    </row>
    <row r="349" spans="2:6" x14ac:dyDescent="0.3">
      <c r="B349" s="7" t="s">
        <v>23</v>
      </c>
      <c r="C349" s="10">
        <v>2008</v>
      </c>
      <c r="D349" s="22" t="s">
        <v>286</v>
      </c>
      <c r="E349" s="19" t="s">
        <v>24</v>
      </c>
      <c r="F349" s="27"/>
    </row>
    <row r="350" spans="2:6" ht="28.8" x14ac:dyDescent="0.3">
      <c r="B350" s="7" t="s">
        <v>23</v>
      </c>
      <c r="C350" s="11">
        <v>2008</v>
      </c>
      <c r="D350" s="31" t="s">
        <v>287</v>
      </c>
      <c r="E350" s="17" t="s">
        <v>334</v>
      </c>
      <c r="F350" s="28">
        <v>1198178</v>
      </c>
    </row>
    <row r="351" spans="2:6" x14ac:dyDescent="0.3">
      <c r="B351" s="7" t="s">
        <v>23</v>
      </c>
      <c r="C351" s="12">
        <v>2008</v>
      </c>
      <c r="D351" s="32" t="s">
        <v>306</v>
      </c>
      <c r="E351" s="33"/>
      <c r="F351" s="29">
        <v>651</v>
      </c>
    </row>
    <row r="352" spans="2:6" x14ac:dyDescent="0.3">
      <c r="B352" s="7" t="s">
        <v>23</v>
      </c>
      <c r="C352" s="12">
        <v>2008</v>
      </c>
      <c r="D352" s="14" t="s">
        <v>289</v>
      </c>
      <c r="E352" s="33"/>
      <c r="F352" s="29">
        <v>22436424</v>
      </c>
    </row>
    <row r="353" spans="2:6" x14ac:dyDescent="0.3">
      <c r="B353" s="7" t="s">
        <v>23</v>
      </c>
      <c r="C353" s="11">
        <v>2009</v>
      </c>
      <c r="D353" s="20" t="s">
        <v>262</v>
      </c>
      <c r="E353" s="17"/>
      <c r="F353" s="28"/>
    </row>
    <row r="354" spans="2:6" ht="28.8" x14ac:dyDescent="0.3">
      <c r="B354" s="7" t="s">
        <v>23</v>
      </c>
      <c r="C354" s="11">
        <v>2009</v>
      </c>
      <c r="D354" s="8" t="s">
        <v>269</v>
      </c>
      <c r="E354" s="17" t="s">
        <v>335</v>
      </c>
      <c r="F354" s="28">
        <v>1840672</v>
      </c>
    </row>
    <row r="355" spans="2:6" x14ac:dyDescent="0.3">
      <c r="B355" s="7" t="s">
        <v>23</v>
      </c>
      <c r="C355" s="11">
        <v>2009</v>
      </c>
      <c r="D355" s="8" t="s">
        <v>273</v>
      </c>
      <c r="E355" s="17" t="s">
        <v>331</v>
      </c>
      <c r="F355" s="28">
        <v>150041</v>
      </c>
    </row>
    <row r="356" spans="2:6" x14ac:dyDescent="0.3">
      <c r="B356" s="7" t="s">
        <v>23</v>
      </c>
      <c r="C356" s="11">
        <v>2009</v>
      </c>
      <c r="D356" s="8" t="s">
        <v>275</v>
      </c>
      <c r="E356" s="17" t="s">
        <v>296</v>
      </c>
      <c r="F356" s="28">
        <v>67668</v>
      </c>
    </row>
    <row r="357" spans="2:6" x14ac:dyDescent="0.3">
      <c r="B357" s="7" t="s">
        <v>23</v>
      </c>
      <c r="C357" s="11">
        <v>2009</v>
      </c>
      <c r="D357" s="31" t="s">
        <v>277</v>
      </c>
      <c r="E357" s="17" t="s">
        <v>329</v>
      </c>
      <c r="F357" s="28">
        <v>40957</v>
      </c>
    </row>
    <row r="358" spans="2:6" x14ac:dyDescent="0.3">
      <c r="B358" s="7" t="s">
        <v>23</v>
      </c>
      <c r="C358" s="12">
        <v>2009</v>
      </c>
      <c r="D358" s="34" t="s">
        <v>311</v>
      </c>
      <c r="E358" s="33"/>
      <c r="F358" s="29">
        <v>1355</v>
      </c>
    </row>
    <row r="359" spans="2:6" x14ac:dyDescent="0.3">
      <c r="B359" s="7" t="s">
        <v>23</v>
      </c>
      <c r="C359" s="10">
        <v>2009</v>
      </c>
      <c r="D359" s="22" t="s">
        <v>31</v>
      </c>
      <c r="E359" s="19"/>
      <c r="F359" s="27"/>
    </row>
    <row r="360" spans="2:6" ht="28.8" x14ac:dyDescent="0.3">
      <c r="B360" s="7" t="s">
        <v>23</v>
      </c>
      <c r="C360" s="11">
        <v>2009</v>
      </c>
      <c r="D360" s="8" t="s">
        <v>23</v>
      </c>
      <c r="E360" s="17" t="s">
        <v>336</v>
      </c>
      <c r="F360" s="28">
        <v>16126227</v>
      </c>
    </row>
    <row r="361" spans="2:6" ht="28.8" x14ac:dyDescent="0.3">
      <c r="B361" s="7" t="s">
        <v>23</v>
      </c>
      <c r="C361" s="12">
        <v>2009</v>
      </c>
      <c r="D361" s="14" t="s">
        <v>337</v>
      </c>
      <c r="E361" s="33" t="s">
        <v>338</v>
      </c>
      <c r="F361" s="29">
        <v>3503275</v>
      </c>
    </row>
    <row r="362" spans="2:6" x14ac:dyDescent="0.3">
      <c r="B362" s="7" t="s">
        <v>23</v>
      </c>
      <c r="C362" s="11">
        <v>2009</v>
      </c>
      <c r="D362" s="20" t="s">
        <v>339</v>
      </c>
      <c r="E362" s="17"/>
      <c r="F362" s="28">
        <v>146232</v>
      </c>
    </row>
    <row r="363" spans="2:6" x14ac:dyDescent="0.3">
      <c r="B363" s="7" t="s">
        <v>23</v>
      </c>
      <c r="C363" s="10">
        <v>2009</v>
      </c>
      <c r="D363" s="22" t="s">
        <v>284</v>
      </c>
      <c r="E363" s="19"/>
      <c r="F363" s="27"/>
    </row>
    <row r="364" spans="2:6" ht="28.8" x14ac:dyDescent="0.3">
      <c r="B364" s="7" t="s">
        <v>23</v>
      </c>
      <c r="C364" s="11">
        <v>2009</v>
      </c>
      <c r="D364" s="8" t="s">
        <v>23</v>
      </c>
      <c r="E364" s="17" t="s">
        <v>340</v>
      </c>
      <c r="F364" s="28">
        <v>6931615</v>
      </c>
    </row>
    <row r="365" spans="2:6" ht="28.8" x14ac:dyDescent="0.3">
      <c r="B365" s="7" t="s">
        <v>23</v>
      </c>
      <c r="C365" s="12">
        <v>2009</v>
      </c>
      <c r="D365" s="14" t="s">
        <v>337</v>
      </c>
      <c r="E365" s="33" t="s">
        <v>341</v>
      </c>
      <c r="F365" s="29">
        <v>1449554</v>
      </c>
    </row>
    <row r="366" spans="2:6" x14ac:dyDescent="0.3">
      <c r="B366" s="7" t="s">
        <v>23</v>
      </c>
      <c r="C366" s="10">
        <v>2009</v>
      </c>
      <c r="D366" s="22" t="s">
        <v>286</v>
      </c>
      <c r="E366" s="19"/>
      <c r="F366" s="27"/>
    </row>
    <row r="367" spans="2:6" ht="43.2" x14ac:dyDescent="0.3">
      <c r="B367" s="7" t="s">
        <v>23</v>
      </c>
      <c r="C367" s="11">
        <v>2009</v>
      </c>
      <c r="D367" s="31" t="s">
        <v>287</v>
      </c>
      <c r="E367" s="17" t="s">
        <v>342</v>
      </c>
      <c r="F367" s="28">
        <v>1132409</v>
      </c>
    </row>
    <row r="368" spans="2:6" x14ac:dyDescent="0.3">
      <c r="B368" s="7" t="s">
        <v>23</v>
      </c>
      <c r="C368" s="12">
        <v>2009</v>
      </c>
      <c r="D368" s="32" t="s">
        <v>306</v>
      </c>
      <c r="E368" s="33"/>
      <c r="F368" s="29">
        <v>163</v>
      </c>
    </row>
    <row r="369" spans="2:6" x14ac:dyDescent="0.3">
      <c r="B369" s="7" t="s">
        <v>23</v>
      </c>
      <c r="C369" s="12">
        <v>2009</v>
      </c>
      <c r="D369" s="14" t="s">
        <v>289</v>
      </c>
      <c r="E369" s="33"/>
      <c r="F369" s="29">
        <v>31390168</v>
      </c>
    </row>
    <row r="370" spans="2:6" x14ac:dyDescent="0.3">
      <c r="B370" s="7" t="s">
        <v>23</v>
      </c>
      <c r="C370" s="11">
        <v>2010</v>
      </c>
      <c r="D370" s="20" t="s">
        <v>262</v>
      </c>
      <c r="E370" s="17"/>
      <c r="F370" s="28"/>
    </row>
    <row r="371" spans="2:6" ht="28.8" x14ac:dyDescent="0.3">
      <c r="B371" s="7" t="s">
        <v>23</v>
      </c>
      <c r="C371" s="11">
        <v>2010</v>
      </c>
      <c r="D371" s="8" t="s">
        <v>269</v>
      </c>
      <c r="E371" s="17" t="s">
        <v>343</v>
      </c>
      <c r="F371" s="28">
        <v>1274161</v>
      </c>
    </row>
    <row r="372" spans="2:6" x14ac:dyDescent="0.3">
      <c r="B372" s="7" t="s">
        <v>23</v>
      </c>
      <c r="C372" s="11">
        <v>2010</v>
      </c>
      <c r="D372" s="8" t="s">
        <v>273</v>
      </c>
      <c r="E372" s="17" t="s">
        <v>310</v>
      </c>
      <c r="F372" s="28">
        <v>117353</v>
      </c>
    </row>
    <row r="373" spans="2:6" x14ac:dyDescent="0.3">
      <c r="B373" s="7" t="s">
        <v>23</v>
      </c>
      <c r="C373" s="11">
        <v>2010</v>
      </c>
      <c r="D373" s="8" t="s">
        <v>275</v>
      </c>
      <c r="E373" s="17" t="s">
        <v>308</v>
      </c>
      <c r="F373" s="28">
        <v>47678</v>
      </c>
    </row>
    <row r="374" spans="2:6" x14ac:dyDescent="0.3">
      <c r="B374" s="7" t="s">
        <v>23</v>
      </c>
      <c r="C374" s="11">
        <v>2010</v>
      </c>
      <c r="D374" s="31" t="s">
        <v>277</v>
      </c>
      <c r="E374" s="17" t="s">
        <v>344</v>
      </c>
      <c r="F374" s="28">
        <v>41274</v>
      </c>
    </row>
    <row r="375" spans="2:6" x14ac:dyDescent="0.3">
      <c r="B375" s="7" t="s">
        <v>23</v>
      </c>
      <c r="C375" s="12">
        <v>2010</v>
      </c>
      <c r="D375" s="34" t="s">
        <v>311</v>
      </c>
      <c r="E375" s="33" t="s">
        <v>24</v>
      </c>
      <c r="F375" s="29">
        <v>69024</v>
      </c>
    </row>
    <row r="376" spans="2:6" x14ac:dyDescent="0.3">
      <c r="B376" s="7" t="s">
        <v>23</v>
      </c>
      <c r="C376" s="10">
        <v>2010</v>
      </c>
      <c r="D376" s="22" t="s">
        <v>31</v>
      </c>
      <c r="E376" s="19"/>
      <c r="F376" s="27"/>
    </row>
    <row r="377" spans="2:6" ht="28.8" x14ac:dyDescent="0.3">
      <c r="B377" s="7" t="s">
        <v>23</v>
      </c>
      <c r="C377" s="11">
        <v>2010</v>
      </c>
      <c r="D377" s="8" t="s">
        <v>23</v>
      </c>
      <c r="E377" s="17" t="s">
        <v>345</v>
      </c>
      <c r="F377" s="28">
        <v>24937764</v>
      </c>
    </row>
    <row r="378" spans="2:6" x14ac:dyDescent="0.3">
      <c r="B378" s="7" t="s">
        <v>23</v>
      </c>
      <c r="C378" s="12">
        <v>2010</v>
      </c>
      <c r="D378" s="14" t="s">
        <v>337</v>
      </c>
      <c r="E378" s="33" t="s">
        <v>346</v>
      </c>
      <c r="F378" s="29">
        <v>2040663</v>
      </c>
    </row>
    <row r="379" spans="2:6" x14ac:dyDescent="0.3">
      <c r="B379" s="7" t="s">
        <v>23</v>
      </c>
      <c r="C379" s="11">
        <v>2010</v>
      </c>
      <c r="D379" s="20" t="s">
        <v>339</v>
      </c>
      <c r="E379" s="17" t="s">
        <v>24</v>
      </c>
      <c r="F379" s="28">
        <v>147079</v>
      </c>
    </row>
    <row r="380" spans="2:6" x14ac:dyDescent="0.3">
      <c r="B380" s="7" t="s">
        <v>23</v>
      </c>
      <c r="C380" s="10">
        <v>2010</v>
      </c>
      <c r="D380" s="22" t="s">
        <v>284</v>
      </c>
      <c r="E380" s="19"/>
      <c r="F380" s="27"/>
    </row>
    <row r="381" spans="2:6" ht="28.8" x14ac:dyDescent="0.3">
      <c r="B381" s="7" t="s">
        <v>23</v>
      </c>
      <c r="C381" s="11">
        <v>2010</v>
      </c>
      <c r="D381" s="8" t="s">
        <v>23</v>
      </c>
      <c r="E381" s="17" t="s">
        <v>347</v>
      </c>
      <c r="F381" s="28">
        <v>12625745</v>
      </c>
    </row>
    <row r="382" spans="2:6" x14ac:dyDescent="0.3">
      <c r="B382" s="7" t="s">
        <v>23</v>
      </c>
      <c r="C382" s="12">
        <v>2010</v>
      </c>
      <c r="D382" s="14" t="s">
        <v>337</v>
      </c>
      <c r="E382" s="33" t="s">
        <v>348</v>
      </c>
      <c r="F382" s="29">
        <v>1420514</v>
      </c>
    </row>
    <row r="383" spans="2:6" x14ac:dyDescent="0.3">
      <c r="B383" s="7" t="s">
        <v>23</v>
      </c>
      <c r="C383" s="10">
        <v>2010</v>
      </c>
      <c r="D383" s="22" t="s">
        <v>286</v>
      </c>
      <c r="E383" s="19"/>
      <c r="F383" s="27"/>
    </row>
    <row r="384" spans="2:6" x14ac:dyDescent="0.3">
      <c r="B384" s="7" t="s">
        <v>23</v>
      </c>
      <c r="C384" s="11">
        <v>2010</v>
      </c>
      <c r="D384" s="31" t="s">
        <v>349</v>
      </c>
      <c r="E384" s="17" t="s">
        <v>350</v>
      </c>
      <c r="F384" s="28">
        <v>7399212</v>
      </c>
    </row>
    <row r="385" spans="2:6" x14ac:dyDescent="0.3">
      <c r="B385" s="7" t="s">
        <v>23</v>
      </c>
      <c r="C385" s="11">
        <v>2010</v>
      </c>
      <c r="D385" s="31" t="s">
        <v>287</v>
      </c>
      <c r="E385" s="17" t="s">
        <v>351</v>
      </c>
      <c r="F385" s="28">
        <v>643419</v>
      </c>
    </row>
    <row r="386" spans="2:6" x14ac:dyDescent="0.3">
      <c r="B386" s="7" t="s">
        <v>23</v>
      </c>
      <c r="C386" s="12">
        <v>2010</v>
      </c>
      <c r="D386" s="32" t="s">
        <v>306</v>
      </c>
      <c r="E386" s="33" t="s">
        <v>24</v>
      </c>
      <c r="F386" s="29">
        <v>139</v>
      </c>
    </row>
    <row r="387" spans="2:6" x14ac:dyDescent="0.3">
      <c r="B387" s="7" t="s">
        <v>23</v>
      </c>
      <c r="C387" s="12">
        <v>2010</v>
      </c>
      <c r="D387" s="14" t="s">
        <v>289</v>
      </c>
      <c r="E387" s="33"/>
      <c r="F387" s="29">
        <v>50764025</v>
      </c>
    </row>
    <row r="388" spans="2:6" x14ac:dyDescent="0.3">
      <c r="B388" s="7" t="s">
        <v>23</v>
      </c>
      <c r="C388" s="11">
        <v>2011</v>
      </c>
      <c r="D388" s="20" t="s">
        <v>262</v>
      </c>
      <c r="E388" s="17"/>
      <c r="F388" s="28"/>
    </row>
    <row r="389" spans="2:6" ht="28.8" x14ac:dyDescent="0.3">
      <c r="B389" s="7" t="s">
        <v>23</v>
      </c>
      <c r="C389" s="11">
        <v>2011</v>
      </c>
      <c r="D389" s="8" t="s">
        <v>269</v>
      </c>
      <c r="E389" s="17" t="s">
        <v>352</v>
      </c>
      <c r="F389" s="28">
        <v>1424918</v>
      </c>
    </row>
    <row r="390" spans="2:6" x14ac:dyDescent="0.3">
      <c r="B390" s="7" t="s">
        <v>23</v>
      </c>
      <c r="C390" s="11">
        <v>2011</v>
      </c>
      <c r="D390" s="8" t="s">
        <v>275</v>
      </c>
      <c r="E390" s="17" t="s">
        <v>296</v>
      </c>
      <c r="F390" s="28">
        <v>103007</v>
      </c>
    </row>
    <row r="391" spans="2:6" x14ac:dyDescent="0.3">
      <c r="B391" s="7" t="s">
        <v>23</v>
      </c>
      <c r="C391" s="11">
        <v>2011</v>
      </c>
      <c r="D391" s="8" t="s">
        <v>273</v>
      </c>
      <c r="E391" s="17" t="s">
        <v>331</v>
      </c>
      <c r="F391" s="28">
        <v>86511</v>
      </c>
    </row>
    <row r="392" spans="2:6" x14ac:dyDescent="0.3">
      <c r="B392" s="7" t="s">
        <v>23</v>
      </c>
      <c r="C392" s="11">
        <v>2011</v>
      </c>
      <c r="D392" s="31" t="s">
        <v>277</v>
      </c>
      <c r="E392" s="17" t="s">
        <v>353</v>
      </c>
      <c r="F392" s="28"/>
    </row>
    <row r="393" spans="2:6" x14ac:dyDescent="0.3">
      <c r="B393" s="7" t="s">
        <v>23</v>
      </c>
      <c r="C393" s="12">
        <v>2011</v>
      </c>
      <c r="D393" s="34" t="s">
        <v>311</v>
      </c>
      <c r="E393" s="33"/>
      <c r="F393" s="29">
        <v>97071</v>
      </c>
    </row>
    <row r="394" spans="2:6" x14ac:dyDescent="0.3">
      <c r="B394" s="7" t="s">
        <v>23</v>
      </c>
      <c r="C394" s="10">
        <v>2011</v>
      </c>
      <c r="D394" s="22" t="s">
        <v>31</v>
      </c>
      <c r="E394" s="19"/>
      <c r="F394" s="27"/>
    </row>
    <row r="395" spans="2:6" ht="28.8" x14ac:dyDescent="0.3">
      <c r="B395" s="7" t="s">
        <v>23</v>
      </c>
      <c r="C395" s="11">
        <v>2011</v>
      </c>
      <c r="D395" s="8" t="s">
        <v>23</v>
      </c>
      <c r="E395" s="17" t="s">
        <v>354</v>
      </c>
      <c r="F395" s="28">
        <v>27227981</v>
      </c>
    </row>
    <row r="396" spans="2:6" ht="28.8" x14ac:dyDescent="0.3">
      <c r="B396" s="7" t="s">
        <v>23</v>
      </c>
      <c r="C396" s="12">
        <v>2011</v>
      </c>
      <c r="D396" s="14" t="s">
        <v>337</v>
      </c>
      <c r="E396" s="33" t="s">
        <v>355</v>
      </c>
      <c r="F396" s="29">
        <v>1750473</v>
      </c>
    </row>
    <row r="397" spans="2:6" x14ac:dyDescent="0.3">
      <c r="B397" s="7" t="s">
        <v>23</v>
      </c>
      <c r="C397" s="11">
        <v>2011</v>
      </c>
      <c r="D397" s="20" t="s">
        <v>339</v>
      </c>
      <c r="E397" s="17"/>
      <c r="F397" s="28">
        <v>338253</v>
      </c>
    </row>
    <row r="398" spans="2:6" x14ac:dyDescent="0.3">
      <c r="B398" s="7" t="s">
        <v>23</v>
      </c>
      <c r="C398" s="10">
        <v>2011</v>
      </c>
      <c r="D398" s="22" t="s">
        <v>284</v>
      </c>
      <c r="E398" s="19"/>
      <c r="F398" s="27"/>
    </row>
    <row r="399" spans="2:6" ht="28.8" x14ac:dyDescent="0.3">
      <c r="B399" s="7" t="s">
        <v>23</v>
      </c>
      <c r="C399" s="11">
        <v>2011</v>
      </c>
      <c r="D399" s="8" t="s">
        <v>23</v>
      </c>
      <c r="E399" s="17" t="s">
        <v>356</v>
      </c>
      <c r="F399" s="28">
        <v>16176962</v>
      </c>
    </row>
    <row r="400" spans="2:6" x14ac:dyDescent="0.3">
      <c r="B400" s="7" t="s">
        <v>23</v>
      </c>
      <c r="C400" s="12">
        <v>2011</v>
      </c>
      <c r="D400" s="14" t="s">
        <v>337</v>
      </c>
      <c r="E400" s="33" t="s">
        <v>357</v>
      </c>
      <c r="F400" s="29">
        <v>1329466</v>
      </c>
    </row>
    <row r="401" spans="2:6" x14ac:dyDescent="0.3">
      <c r="B401" s="7" t="s">
        <v>23</v>
      </c>
      <c r="C401" s="10">
        <v>2011</v>
      </c>
      <c r="D401" s="22" t="s">
        <v>286</v>
      </c>
      <c r="E401" s="19"/>
      <c r="F401" s="27"/>
    </row>
    <row r="402" spans="2:6" x14ac:dyDescent="0.3">
      <c r="B402" s="7" t="s">
        <v>23</v>
      </c>
      <c r="C402" s="11">
        <v>2011</v>
      </c>
      <c r="D402" s="31" t="s">
        <v>349</v>
      </c>
      <c r="E402" s="17" t="s">
        <v>350</v>
      </c>
      <c r="F402" s="28">
        <v>1991552</v>
      </c>
    </row>
    <row r="403" spans="2:6" ht="28.8" x14ac:dyDescent="0.3">
      <c r="B403" s="7" t="s">
        <v>23</v>
      </c>
      <c r="C403" s="11">
        <v>2011</v>
      </c>
      <c r="D403" s="31" t="s">
        <v>287</v>
      </c>
      <c r="E403" s="17" t="s">
        <v>358</v>
      </c>
      <c r="F403" s="28">
        <v>451475</v>
      </c>
    </row>
    <row r="404" spans="2:6" x14ac:dyDescent="0.3">
      <c r="B404" s="7" t="s">
        <v>23</v>
      </c>
      <c r="C404" s="12">
        <v>2011</v>
      </c>
      <c r="D404" s="32" t="s">
        <v>306</v>
      </c>
      <c r="E404" s="33"/>
      <c r="F404" s="29">
        <v>3375</v>
      </c>
    </row>
    <row r="405" spans="2:6" x14ac:dyDescent="0.3">
      <c r="B405" s="7"/>
      <c r="C405" s="12">
        <v>2011</v>
      </c>
      <c r="D405" s="14" t="s">
        <v>289</v>
      </c>
      <c r="E405" s="33"/>
      <c r="F405" s="29">
        <v>50991044</v>
      </c>
    </row>
    <row r="406" spans="2:6" x14ac:dyDescent="0.3">
      <c r="B406" s="7" t="s">
        <v>23</v>
      </c>
      <c r="C406" s="11">
        <v>2012</v>
      </c>
      <c r="D406" s="20" t="s">
        <v>262</v>
      </c>
      <c r="E406" s="17"/>
      <c r="F406" s="28"/>
    </row>
    <row r="407" spans="2:6" ht="28.8" x14ac:dyDescent="0.3">
      <c r="B407" s="7" t="s">
        <v>23</v>
      </c>
      <c r="C407" s="11">
        <v>2012</v>
      </c>
      <c r="D407" s="8" t="s">
        <v>269</v>
      </c>
      <c r="E407" s="17" t="s">
        <v>359</v>
      </c>
      <c r="F407" s="28">
        <v>475613</v>
      </c>
    </row>
    <row r="408" spans="2:6" ht="28.8" x14ac:dyDescent="0.3">
      <c r="B408" s="7" t="s">
        <v>23</v>
      </c>
      <c r="C408" s="11">
        <v>2012</v>
      </c>
      <c r="D408" s="8" t="s">
        <v>273</v>
      </c>
      <c r="E408" s="17" t="s">
        <v>360</v>
      </c>
      <c r="F408" s="28">
        <v>69995</v>
      </c>
    </row>
    <row r="409" spans="2:6" ht="28.8" x14ac:dyDescent="0.3">
      <c r="B409" s="7" t="s">
        <v>23</v>
      </c>
      <c r="C409" s="11">
        <v>2012</v>
      </c>
      <c r="D409" s="8" t="s">
        <v>275</v>
      </c>
      <c r="E409" s="17" t="s">
        <v>361</v>
      </c>
      <c r="F409" s="28">
        <v>86715</v>
      </c>
    </row>
    <row r="410" spans="2:6" x14ac:dyDescent="0.3">
      <c r="B410" s="7" t="s">
        <v>23</v>
      </c>
      <c r="C410" s="12">
        <v>2012</v>
      </c>
      <c r="D410" s="14" t="s">
        <v>362</v>
      </c>
      <c r="E410" s="33"/>
      <c r="F410" s="29">
        <v>80996</v>
      </c>
    </row>
    <row r="411" spans="2:6" x14ac:dyDescent="0.3">
      <c r="B411" s="7" t="s">
        <v>23</v>
      </c>
      <c r="C411" s="10">
        <v>2012</v>
      </c>
      <c r="D411" s="22" t="s">
        <v>31</v>
      </c>
      <c r="E411" s="19"/>
      <c r="F411" s="27"/>
    </row>
    <row r="412" spans="2:6" ht="28.8" x14ac:dyDescent="0.3">
      <c r="B412" s="7" t="s">
        <v>23</v>
      </c>
      <c r="C412" s="11">
        <v>2012</v>
      </c>
      <c r="D412" s="8" t="s">
        <v>23</v>
      </c>
      <c r="E412" s="17" t="s">
        <v>363</v>
      </c>
      <c r="F412" s="28">
        <v>40284112</v>
      </c>
    </row>
    <row r="413" spans="2:6" ht="28.8" x14ac:dyDescent="0.3">
      <c r="B413" s="7" t="s">
        <v>23</v>
      </c>
      <c r="C413" s="12">
        <v>2012</v>
      </c>
      <c r="D413" s="14" t="s">
        <v>337</v>
      </c>
      <c r="E413" s="33" t="s">
        <v>364</v>
      </c>
      <c r="F413" s="29">
        <v>1478639</v>
      </c>
    </row>
    <row r="414" spans="2:6" x14ac:dyDescent="0.3">
      <c r="B414" s="7" t="s">
        <v>23</v>
      </c>
      <c r="C414" s="11">
        <v>2012</v>
      </c>
      <c r="D414" s="20" t="s">
        <v>339</v>
      </c>
      <c r="E414" s="17"/>
      <c r="F414" s="28">
        <v>895482</v>
      </c>
    </row>
    <row r="415" spans="2:6" x14ac:dyDescent="0.3">
      <c r="B415" s="7" t="s">
        <v>23</v>
      </c>
      <c r="C415" s="10">
        <v>2012</v>
      </c>
      <c r="D415" s="22" t="s">
        <v>284</v>
      </c>
      <c r="E415" s="19"/>
      <c r="F415" s="27"/>
    </row>
    <row r="416" spans="2:6" ht="28.8" x14ac:dyDescent="0.3">
      <c r="B416" s="7" t="s">
        <v>23</v>
      </c>
      <c r="C416" s="11">
        <v>2012</v>
      </c>
      <c r="D416" s="8" t="s">
        <v>23</v>
      </c>
      <c r="E416" s="17" t="s">
        <v>365</v>
      </c>
      <c r="F416" s="28">
        <v>18489696</v>
      </c>
    </row>
    <row r="417" spans="2:6" x14ac:dyDescent="0.3">
      <c r="B417" s="7" t="s">
        <v>23</v>
      </c>
      <c r="C417" s="12">
        <v>2012</v>
      </c>
      <c r="D417" s="14" t="s">
        <v>337</v>
      </c>
      <c r="E417" s="33" t="s">
        <v>366</v>
      </c>
      <c r="F417" s="29">
        <v>1004366</v>
      </c>
    </row>
    <row r="418" spans="2:6" x14ac:dyDescent="0.3">
      <c r="B418" s="7" t="s">
        <v>23</v>
      </c>
      <c r="C418" s="10">
        <v>2012</v>
      </c>
      <c r="D418" s="22" t="s">
        <v>286</v>
      </c>
      <c r="E418" s="19"/>
      <c r="F418" s="27"/>
    </row>
    <row r="419" spans="2:6" x14ac:dyDescent="0.3">
      <c r="B419" s="7" t="s">
        <v>23</v>
      </c>
      <c r="C419" s="11">
        <v>2012</v>
      </c>
      <c r="D419" s="31" t="s">
        <v>349</v>
      </c>
      <c r="E419" s="17" t="s">
        <v>350</v>
      </c>
      <c r="F419" s="28"/>
    </row>
    <row r="420" spans="2:6" ht="43.2" x14ac:dyDescent="0.3">
      <c r="B420" s="7" t="s">
        <v>23</v>
      </c>
      <c r="C420" s="11">
        <v>2012</v>
      </c>
      <c r="D420" s="31" t="s">
        <v>287</v>
      </c>
      <c r="E420" s="17" t="s">
        <v>367</v>
      </c>
      <c r="F420" s="28">
        <v>652912</v>
      </c>
    </row>
    <row r="421" spans="2:6" x14ac:dyDescent="0.3">
      <c r="B421" s="7" t="s">
        <v>23</v>
      </c>
      <c r="C421" s="12">
        <v>2012</v>
      </c>
      <c r="D421" s="32" t="s">
        <v>306</v>
      </c>
      <c r="E421" s="33"/>
      <c r="F421" s="29">
        <v>140</v>
      </c>
    </row>
    <row r="422" spans="2:6" x14ac:dyDescent="0.3">
      <c r="B422" s="7" t="s">
        <v>23</v>
      </c>
      <c r="C422" s="12">
        <v>2012</v>
      </c>
      <c r="D422" s="14" t="s">
        <v>289</v>
      </c>
      <c r="E422" s="33"/>
      <c r="F422" s="29">
        <v>63518626</v>
      </c>
    </row>
    <row r="423" spans="2:6" x14ac:dyDescent="0.3">
      <c r="B423" s="7" t="s">
        <v>23</v>
      </c>
      <c r="C423" s="11">
        <v>2013</v>
      </c>
      <c r="D423" s="20" t="s">
        <v>262</v>
      </c>
      <c r="E423" s="17"/>
      <c r="F423" s="28"/>
    </row>
    <row r="424" spans="2:6" ht="28.8" x14ac:dyDescent="0.3">
      <c r="B424" s="7" t="s">
        <v>23</v>
      </c>
      <c r="C424" s="11">
        <v>2013</v>
      </c>
      <c r="D424" s="8" t="s">
        <v>269</v>
      </c>
      <c r="E424" s="17" t="s">
        <v>368</v>
      </c>
      <c r="F424" s="28">
        <v>332048</v>
      </c>
    </row>
    <row r="425" spans="2:6" ht="28.8" x14ac:dyDescent="0.3">
      <c r="B425" s="7" t="s">
        <v>23</v>
      </c>
      <c r="C425" s="11">
        <v>2013</v>
      </c>
      <c r="D425" s="8" t="s">
        <v>275</v>
      </c>
      <c r="E425" s="17" t="s">
        <v>369</v>
      </c>
      <c r="F425" s="28">
        <v>85372</v>
      </c>
    </row>
    <row r="426" spans="2:6" ht="28.8" x14ac:dyDescent="0.3">
      <c r="B426" s="7" t="s">
        <v>23</v>
      </c>
      <c r="C426" s="11">
        <v>2013</v>
      </c>
      <c r="D426" s="8" t="s">
        <v>273</v>
      </c>
      <c r="E426" s="17" t="s">
        <v>370</v>
      </c>
      <c r="F426" s="28">
        <v>54590</v>
      </c>
    </row>
    <row r="427" spans="2:6" x14ac:dyDescent="0.3">
      <c r="B427" s="7" t="s">
        <v>23</v>
      </c>
      <c r="C427" s="12">
        <v>2013</v>
      </c>
      <c r="D427" s="14" t="s">
        <v>362</v>
      </c>
      <c r="E427" s="33"/>
      <c r="F427" s="29">
        <v>64723</v>
      </c>
    </row>
    <row r="428" spans="2:6" x14ac:dyDescent="0.3">
      <c r="B428" s="7" t="s">
        <v>23</v>
      </c>
      <c r="C428" s="10">
        <v>2013</v>
      </c>
      <c r="D428" s="22" t="s">
        <v>31</v>
      </c>
      <c r="E428" s="19"/>
      <c r="F428" s="27"/>
    </row>
    <row r="429" spans="2:6" ht="72" x14ac:dyDescent="0.3">
      <c r="B429" s="7" t="s">
        <v>23</v>
      </c>
      <c r="C429" s="11">
        <v>2013</v>
      </c>
      <c r="D429" s="8" t="s">
        <v>23</v>
      </c>
      <c r="E429" s="17" t="s">
        <v>371</v>
      </c>
      <c r="F429" s="28">
        <v>42685432</v>
      </c>
    </row>
    <row r="430" spans="2:6" ht="57.6" x14ac:dyDescent="0.3">
      <c r="B430" s="7" t="s">
        <v>23</v>
      </c>
      <c r="C430" s="12">
        <v>2013</v>
      </c>
      <c r="D430" s="14" t="s">
        <v>337</v>
      </c>
      <c r="E430" s="33" t="s">
        <v>372</v>
      </c>
      <c r="F430" s="29">
        <v>1282542</v>
      </c>
    </row>
    <row r="431" spans="2:6" x14ac:dyDescent="0.3">
      <c r="B431" s="7" t="s">
        <v>23</v>
      </c>
      <c r="C431" s="15">
        <v>2013</v>
      </c>
      <c r="D431" s="21" t="s">
        <v>339</v>
      </c>
      <c r="E431" s="18"/>
      <c r="F431" s="30">
        <v>4219810</v>
      </c>
    </row>
    <row r="432" spans="2:6" x14ac:dyDescent="0.3">
      <c r="B432" s="7" t="s">
        <v>23</v>
      </c>
      <c r="C432" s="10">
        <v>2013</v>
      </c>
      <c r="D432" s="22" t="s">
        <v>284</v>
      </c>
      <c r="E432" s="19"/>
      <c r="F432" s="27"/>
    </row>
    <row r="433" spans="2:6" ht="43.2" x14ac:dyDescent="0.3">
      <c r="B433" s="7" t="s">
        <v>23</v>
      </c>
      <c r="C433" s="11">
        <v>2013</v>
      </c>
      <c r="D433" s="8" t="s">
        <v>23</v>
      </c>
      <c r="E433" s="17" t="s">
        <v>373</v>
      </c>
      <c r="F433" s="28">
        <v>27528447</v>
      </c>
    </row>
    <row r="434" spans="2:6" ht="28.8" x14ac:dyDescent="0.3">
      <c r="B434" s="7" t="s">
        <v>23</v>
      </c>
      <c r="C434" s="12">
        <v>2013</v>
      </c>
      <c r="D434" s="14" t="s">
        <v>337</v>
      </c>
      <c r="E434" s="33" t="s">
        <v>374</v>
      </c>
      <c r="F434" s="29">
        <v>948897</v>
      </c>
    </row>
    <row r="435" spans="2:6" x14ac:dyDescent="0.3">
      <c r="B435" s="7" t="s">
        <v>23</v>
      </c>
      <c r="C435" s="10">
        <v>2013</v>
      </c>
      <c r="D435" s="22" t="s">
        <v>286</v>
      </c>
      <c r="E435" s="19"/>
      <c r="F435" s="27"/>
    </row>
    <row r="436" spans="2:6" x14ac:dyDescent="0.3">
      <c r="B436" s="7" t="s">
        <v>23</v>
      </c>
      <c r="C436" s="11">
        <v>2013</v>
      </c>
      <c r="D436" s="31" t="s">
        <v>349</v>
      </c>
      <c r="E436" s="17" t="s">
        <v>350</v>
      </c>
      <c r="F436" s="28">
        <v>9028770</v>
      </c>
    </row>
    <row r="437" spans="2:6" ht="43.2" x14ac:dyDescent="0.3">
      <c r="B437" s="7"/>
      <c r="C437" s="11">
        <v>2013</v>
      </c>
      <c r="D437" s="31" t="s">
        <v>287</v>
      </c>
      <c r="E437" s="17" t="s">
        <v>375</v>
      </c>
      <c r="F437" s="28">
        <v>874324</v>
      </c>
    </row>
    <row r="438" spans="2:6" x14ac:dyDescent="0.3">
      <c r="B438" s="7" t="s">
        <v>23</v>
      </c>
      <c r="C438" s="12">
        <v>2013</v>
      </c>
      <c r="D438" s="32" t="s">
        <v>306</v>
      </c>
      <c r="E438" s="33"/>
      <c r="F438" s="29">
        <v>28</v>
      </c>
    </row>
    <row r="439" spans="2:6" x14ac:dyDescent="0.3">
      <c r="B439" s="7" t="s">
        <v>23</v>
      </c>
      <c r="C439" s="12">
        <v>2013</v>
      </c>
      <c r="D439" s="14" t="s">
        <v>289</v>
      </c>
      <c r="E439" s="33"/>
      <c r="F439" s="29">
        <v>87104883</v>
      </c>
    </row>
    <row r="440" spans="2:6" x14ac:dyDescent="0.3">
      <c r="B440" s="7" t="s">
        <v>23</v>
      </c>
      <c r="C440" s="10">
        <v>2014</v>
      </c>
      <c r="D440" s="22" t="s">
        <v>262</v>
      </c>
      <c r="E440" s="19"/>
      <c r="F440" s="27"/>
    </row>
    <row r="441" spans="2:6" ht="28.8" x14ac:dyDescent="0.3">
      <c r="B441" s="7" t="s">
        <v>23</v>
      </c>
      <c r="C441" s="11">
        <v>2014</v>
      </c>
      <c r="D441" s="8" t="s">
        <v>269</v>
      </c>
      <c r="E441" s="17" t="s">
        <v>376</v>
      </c>
      <c r="F441" s="28">
        <v>158098</v>
      </c>
    </row>
    <row r="442" spans="2:6" ht="43.2" x14ac:dyDescent="0.3">
      <c r="B442" s="7" t="s">
        <v>23</v>
      </c>
      <c r="C442" s="11">
        <v>2014</v>
      </c>
      <c r="D442" s="8" t="s">
        <v>275</v>
      </c>
      <c r="E442" s="17" t="s">
        <v>377</v>
      </c>
      <c r="F442" s="28">
        <v>87435</v>
      </c>
    </row>
    <row r="443" spans="2:6" ht="43.2" x14ac:dyDescent="0.3">
      <c r="B443" s="7" t="s">
        <v>23</v>
      </c>
      <c r="C443" s="11">
        <v>2014</v>
      </c>
      <c r="D443" s="8" t="s">
        <v>273</v>
      </c>
      <c r="E443" s="17" t="s">
        <v>378</v>
      </c>
      <c r="F443" s="28">
        <v>37723</v>
      </c>
    </row>
    <row r="444" spans="2:6" x14ac:dyDescent="0.3">
      <c r="B444" s="7" t="s">
        <v>23</v>
      </c>
      <c r="C444" s="12">
        <v>2014</v>
      </c>
      <c r="D444" s="14" t="s">
        <v>362</v>
      </c>
      <c r="E444" s="33"/>
      <c r="F444" s="29">
        <v>56642</v>
      </c>
    </row>
    <row r="445" spans="2:6" x14ac:dyDescent="0.3">
      <c r="B445" s="7" t="s">
        <v>23</v>
      </c>
      <c r="C445" s="10">
        <v>2014</v>
      </c>
      <c r="D445" s="22" t="s">
        <v>31</v>
      </c>
      <c r="E445" s="19"/>
      <c r="F445" s="27"/>
    </row>
    <row r="446" spans="2:6" ht="72" x14ac:dyDescent="0.3">
      <c r="B446" s="7" t="s">
        <v>23</v>
      </c>
      <c r="C446" s="11">
        <v>2014</v>
      </c>
      <c r="D446" s="8" t="s">
        <v>23</v>
      </c>
      <c r="E446" s="17" t="s">
        <v>379</v>
      </c>
      <c r="F446" s="28">
        <v>43250644</v>
      </c>
    </row>
    <row r="447" spans="2:6" ht="72" x14ac:dyDescent="0.3">
      <c r="B447" s="7" t="s">
        <v>23</v>
      </c>
      <c r="C447" s="12">
        <v>2014</v>
      </c>
      <c r="D447" s="14" t="s">
        <v>337</v>
      </c>
      <c r="E447" s="33" t="s">
        <v>380</v>
      </c>
      <c r="F447" s="29">
        <v>1031154</v>
      </c>
    </row>
    <row r="448" spans="2:6" x14ac:dyDescent="0.3">
      <c r="B448" s="7" t="s">
        <v>23</v>
      </c>
      <c r="C448" s="15">
        <v>2014</v>
      </c>
      <c r="D448" s="21" t="s">
        <v>339</v>
      </c>
      <c r="E448" s="18"/>
      <c r="F448" s="30">
        <v>12359686</v>
      </c>
    </row>
    <row r="449" spans="2:6" x14ac:dyDescent="0.3">
      <c r="B449" s="7" t="s">
        <v>23</v>
      </c>
      <c r="C449" s="10">
        <v>2014</v>
      </c>
      <c r="D449" s="22" t="s">
        <v>284</v>
      </c>
      <c r="E449" s="19"/>
      <c r="F449" s="27"/>
    </row>
    <row r="450" spans="2:6" ht="43.2" x14ac:dyDescent="0.3">
      <c r="B450" s="7" t="s">
        <v>23</v>
      </c>
      <c r="C450" s="11">
        <v>2014</v>
      </c>
      <c r="D450" s="8" t="s">
        <v>23</v>
      </c>
      <c r="E450" s="17" t="s">
        <v>381</v>
      </c>
      <c r="F450" s="28">
        <v>32398036</v>
      </c>
    </row>
    <row r="451" spans="2:6" ht="28.8" x14ac:dyDescent="0.3">
      <c r="B451" s="7" t="s">
        <v>23</v>
      </c>
      <c r="C451" s="12">
        <v>2014</v>
      </c>
      <c r="D451" s="14" t="s">
        <v>337</v>
      </c>
      <c r="E451" s="33" t="s">
        <v>382</v>
      </c>
      <c r="F451" s="29">
        <v>806714</v>
      </c>
    </row>
    <row r="452" spans="2:6" x14ac:dyDescent="0.3">
      <c r="B452" s="7" t="s">
        <v>23</v>
      </c>
      <c r="C452" s="10">
        <v>2014</v>
      </c>
      <c r="D452" s="22" t="s">
        <v>286</v>
      </c>
      <c r="E452" s="19"/>
      <c r="F452" s="27"/>
    </row>
    <row r="453" spans="2:6" ht="28.8" x14ac:dyDescent="0.3">
      <c r="B453" s="7" t="s">
        <v>23</v>
      </c>
      <c r="C453" s="11">
        <v>2014</v>
      </c>
      <c r="D453" s="31" t="s">
        <v>287</v>
      </c>
      <c r="E453" s="17" t="s">
        <v>383</v>
      </c>
      <c r="F453" s="28">
        <v>863861</v>
      </c>
    </row>
    <row r="454" spans="2:6" x14ac:dyDescent="0.3">
      <c r="B454" s="7" t="s">
        <v>23</v>
      </c>
      <c r="C454" s="12">
        <v>2014</v>
      </c>
      <c r="D454" s="32" t="s">
        <v>306</v>
      </c>
      <c r="E454" s="33"/>
      <c r="F454" s="29">
        <v>28</v>
      </c>
    </row>
    <row r="455" spans="2:6" x14ac:dyDescent="0.3">
      <c r="B455" s="7" t="s">
        <v>23</v>
      </c>
      <c r="C455" s="12">
        <v>2014</v>
      </c>
      <c r="D455" s="14" t="s">
        <v>289</v>
      </c>
      <c r="E455" s="33"/>
      <c r="F455" s="29">
        <v>91050021</v>
      </c>
    </row>
    <row r="456" spans="2:6" x14ac:dyDescent="0.3">
      <c r="B456" s="7" t="s">
        <v>23</v>
      </c>
      <c r="C456" s="11">
        <v>2015</v>
      </c>
      <c r="D456" s="20" t="s">
        <v>262</v>
      </c>
      <c r="E456" s="8"/>
      <c r="F456" s="28"/>
    </row>
    <row r="457" spans="2:6" ht="43.2" x14ac:dyDescent="0.3">
      <c r="B457" s="7" t="s">
        <v>23</v>
      </c>
      <c r="C457" s="11">
        <v>2015</v>
      </c>
      <c r="D457" s="8" t="s">
        <v>269</v>
      </c>
      <c r="E457" s="17" t="s">
        <v>384</v>
      </c>
      <c r="F457" s="28">
        <v>59603</v>
      </c>
    </row>
    <row r="458" spans="2:6" ht="28.8" x14ac:dyDescent="0.3">
      <c r="B458" s="7" t="s">
        <v>23</v>
      </c>
      <c r="C458" s="11">
        <v>2015</v>
      </c>
      <c r="D458" s="8" t="s">
        <v>275</v>
      </c>
      <c r="E458" s="17" t="s">
        <v>385</v>
      </c>
      <c r="F458" s="28">
        <v>93175</v>
      </c>
    </row>
    <row r="459" spans="2:6" ht="43.2" x14ac:dyDescent="0.3">
      <c r="B459" s="7" t="s">
        <v>23</v>
      </c>
      <c r="C459" s="11">
        <v>2015</v>
      </c>
      <c r="D459" s="8" t="s">
        <v>273</v>
      </c>
      <c r="E459" s="17" t="s">
        <v>378</v>
      </c>
      <c r="F459" s="28">
        <v>23136</v>
      </c>
    </row>
    <row r="460" spans="2:6" x14ac:dyDescent="0.3">
      <c r="B460" s="7" t="s">
        <v>23</v>
      </c>
      <c r="C460" s="12">
        <v>2015</v>
      </c>
      <c r="D460" s="14" t="s">
        <v>362</v>
      </c>
      <c r="E460" s="14"/>
      <c r="F460" s="29">
        <v>2231</v>
      </c>
    </row>
    <row r="461" spans="2:6" ht="72" x14ac:dyDescent="0.3">
      <c r="B461" s="7" t="s">
        <v>23</v>
      </c>
      <c r="C461" s="15">
        <v>2015</v>
      </c>
      <c r="D461" s="21" t="s">
        <v>31</v>
      </c>
      <c r="E461" s="18" t="s">
        <v>386</v>
      </c>
      <c r="F461" s="30">
        <v>37981403</v>
      </c>
    </row>
    <row r="462" spans="2:6" x14ac:dyDescent="0.3">
      <c r="B462" s="7" t="s">
        <v>23</v>
      </c>
      <c r="C462" s="15">
        <v>2015</v>
      </c>
      <c r="D462" s="21" t="s">
        <v>339</v>
      </c>
      <c r="E462" s="16" t="s">
        <v>387</v>
      </c>
      <c r="F462" s="30">
        <v>19690627</v>
      </c>
    </row>
    <row r="463" spans="2:6" ht="43.2" x14ac:dyDescent="0.3">
      <c r="B463" s="7" t="s">
        <v>23</v>
      </c>
      <c r="C463" s="10">
        <v>2015</v>
      </c>
      <c r="D463" s="22" t="s">
        <v>284</v>
      </c>
      <c r="E463" s="19" t="s">
        <v>381</v>
      </c>
      <c r="F463" s="27">
        <v>29981346</v>
      </c>
    </row>
    <row r="464" spans="2:6" x14ac:dyDescent="0.3">
      <c r="B464" s="7" t="s">
        <v>23</v>
      </c>
      <c r="C464" s="10">
        <v>2015</v>
      </c>
      <c r="D464" s="22" t="s">
        <v>286</v>
      </c>
      <c r="E464" s="13"/>
      <c r="F464" s="27"/>
    </row>
    <row r="465" spans="2:6" ht="43.2" x14ac:dyDescent="0.3">
      <c r="B465" s="7" t="s">
        <v>23</v>
      </c>
      <c r="C465" s="11">
        <v>2015</v>
      </c>
      <c r="D465" s="31" t="s">
        <v>287</v>
      </c>
      <c r="E465" s="17" t="s">
        <v>388</v>
      </c>
      <c r="F465" s="28">
        <v>590106</v>
      </c>
    </row>
    <row r="466" spans="2:6" x14ac:dyDescent="0.3">
      <c r="B466" s="7" t="s">
        <v>23</v>
      </c>
      <c r="C466" s="12">
        <v>2015</v>
      </c>
      <c r="D466" s="32" t="s">
        <v>306</v>
      </c>
      <c r="E466" s="14"/>
      <c r="F466" s="29">
        <f>28+1643753</f>
        <v>1643781</v>
      </c>
    </row>
    <row r="467" spans="2:6" x14ac:dyDescent="0.3">
      <c r="B467" s="7" t="s">
        <v>23</v>
      </c>
      <c r="C467" s="12">
        <v>2015</v>
      </c>
      <c r="D467" s="14" t="s">
        <v>289</v>
      </c>
      <c r="E467" s="14"/>
      <c r="F467" s="29">
        <v>90065408</v>
      </c>
    </row>
    <row r="468" spans="2:6" x14ac:dyDescent="0.3">
      <c r="B468" s="7" t="s">
        <v>23</v>
      </c>
      <c r="C468" s="11">
        <v>2016</v>
      </c>
      <c r="D468" s="20" t="s">
        <v>262</v>
      </c>
      <c r="E468" s="8"/>
      <c r="F468" s="28"/>
    </row>
    <row r="469" spans="2:6" ht="43.2" x14ac:dyDescent="0.3">
      <c r="B469" s="7" t="s">
        <v>23</v>
      </c>
      <c r="C469" s="11">
        <v>2016</v>
      </c>
      <c r="D469" s="8" t="s">
        <v>269</v>
      </c>
      <c r="E469" s="17" t="s">
        <v>389</v>
      </c>
      <c r="F469" s="28">
        <v>30766</v>
      </c>
    </row>
    <row r="470" spans="2:6" ht="28.8" x14ac:dyDescent="0.3">
      <c r="B470" s="7" t="s">
        <v>23</v>
      </c>
      <c r="C470" s="11">
        <v>2016</v>
      </c>
      <c r="D470" s="8" t="s">
        <v>275</v>
      </c>
      <c r="E470" s="17" t="s">
        <v>390</v>
      </c>
      <c r="F470" s="28">
        <v>98243</v>
      </c>
    </row>
    <row r="471" spans="2:6" ht="43.2" x14ac:dyDescent="0.3">
      <c r="B471" s="7" t="s">
        <v>23</v>
      </c>
      <c r="C471" s="11">
        <v>2016</v>
      </c>
      <c r="D471" s="8" t="s">
        <v>273</v>
      </c>
      <c r="E471" s="17" t="s">
        <v>391</v>
      </c>
      <c r="F471" s="28">
        <v>16096</v>
      </c>
    </row>
    <row r="472" spans="2:6" x14ac:dyDescent="0.3">
      <c r="B472" s="7" t="s">
        <v>23</v>
      </c>
      <c r="C472" s="12">
        <v>2016</v>
      </c>
      <c r="D472" s="14" t="s">
        <v>362</v>
      </c>
      <c r="E472" s="14"/>
      <c r="F472" s="29">
        <v>4143</v>
      </c>
    </row>
    <row r="473" spans="2:6" ht="72" x14ac:dyDescent="0.3">
      <c r="B473" s="7" t="s">
        <v>23</v>
      </c>
      <c r="C473" s="15">
        <v>2016</v>
      </c>
      <c r="D473" s="21" t="s">
        <v>31</v>
      </c>
      <c r="E473" s="18" t="s">
        <v>392</v>
      </c>
      <c r="F473" s="30">
        <v>32086856</v>
      </c>
    </row>
    <row r="474" spans="2:6" x14ac:dyDescent="0.3">
      <c r="B474" s="7" t="s">
        <v>23</v>
      </c>
      <c r="C474" s="15">
        <v>2016</v>
      </c>
      <c r="D474" s="21" t="s">
        <v>339</v>
      </c>
      <c r="E474" s="16" t="s">
        <v>393</v>
      </c>
      <c r="F474" s="30">
        <v>23758043</v>
      </c>
    </row>
    <row r="475" spans="2:6" ht="57.6" x14ac:dyDescent="0.3">
      <c r="B475" s="7" t="s">
        <v>23</v>
      </c>
      <c r="C475" s="10">
        <v>2016</v>
      </c>
      <c r="D475" s="22" t="s">
        <v>284</v>
      </c>
      <c r="E475" s="19" t="s">
        <v>394</v>
      </c>
      <c r="F475" s="27">
        <v>24765860</v>
      </c>
    </row>
    <row r="476" spans="2:6" x14ac:dyDescent="0.3">
      <c r="B476" s="7" t="s">
        <v>23</v>
      </c>
      <c r="C476" s="12">
        <v>2016</v>
      </c>
      <c r="D476" s="14" t="s">
        <v>286</v>
      </c>
      <c r="E476" s="14"/>
      <c r="F476" s="29">
        <v>2322686</v>
      </c>
    </row>
    <row r="477" spans="2:6" ht="43.2" x14ac:dyDescent="0.3">
      <c r="B477" s="7" t="s">
        <v>23</v>
      </c>
      <c r="C477" s="10">
        <v>2016</v>
      </c>
      <c r="D477" s="22" t="s">
        <v>287</v>
      </c>
      <c r="E477" s="19" t="s">
        <v>395</v>
      </c>
      <c r="F477" s="27">
        <v>448167</v>
      </c>
    </row>
    <row r="478" spans="2:6" x14ac:dyDescent="0.3">
      <c r="B478" s="7" t="s">
        <v>23</v>
      </c>
      <c r="C478" s="12">
        <v>2016</v>
      </c>
      <c r="D478" s="14" t="s">
        <v>362</v>
      </c>
      <c r="E478" s="14"/>
      <c r="F478" s="29">
        <v>27</v>
      </c>
    </row>
    <row r="479" spans="2:6" x14ac:dyDescent="0.3">
      <c r="B479" s="7" t="s">
        <v>23</v>
      </c>
      <c r="C479" s="15">
        <v>2016</v>
      </c>
      <c r="D479" s="16" t="s">
        <v>289</v>
      </c>
      <c r="E479" s="16"/>
      <c r="F479" s="30">
        <v>83082693</v>
      </c>
    </row>
    <row r="480" spans="2:6" x14ac:dyDescent="0.3">
      <c r="B480" s="7" t="s">
        <v>23</v>
      </c>
      <c r="C480" s="15">
        <v>2017</v>
      </c>
      <c r="D480" s="20" t="s">
        <v>262</v>
      </c>
      <c r="E480" s="8"/>
      <c r="F480" s="30"/>
    </row>
    <row r="481" spans="2:6" ht="43.2" x14ac:dyDescent="0.3">
      <c r="B481" s="7" t="s">
        <v>23</v>
      </c>
      <c r="C481" s="15">
        <v>2017</v>
      </c>
      <c r="D481" s="8" t="s">
        <v>269</v>
      </c>
      <c r="E481" s="17" t="s">
        <v>389</v>
      </c>
      <c r="F481" s="30">
        <v>27991</v>
      </c>
    </row>
    <row r="482" spans="2:6" ht="28.8" x14ac:dyDescent="0.3">
      <c r="B482" s="7" t="s">
        <v>23</v>
      </c>
      <c r="C482" s="15">
        <v>2017</v>
      </c>
      <c r="D482" s="8" t="s">
        <v>275</v>
      </c>
      <c r="E482" s="17" t="s">
        <v>390</v>
      </c>
      <c r="F482" s="30">
        <v>101247</v>
      </c>
    </row>
    <row r="483" spans="2:6" ht="43.2" x14ac:dyDescent="0.3">
      <c r="B483" s="7" t="s">
        <v>23</v>
      </c>
      <c r="C483" s="15">
        <v>2017</v>
      </c>
      <c r="D483" s="8" t="s">
        <v>273</v>
      </c>
      <c r="E483" s="17" t="s">
        <v>391</v>
      </c>
      <c r="F483" s="30">
        <v>11381</v>
      </c>
    </row>
    <row r="484" spans="2:6" x14ac:dyDescent="0.3">
      <c r="B484" s="7" t="s">
        <v>23</v>
      </c>
      <c r="C484" s="15">
        <v>2017</v>
      </c>
      <c r="D484" s="14" t="s">
        <v>362</v>
      </c>
      <c r="E484" s="14"/>
      <c r="F484" s="30">
        <v>4645</v>
      </c>
    </row>
    <row r="485" spans="2:6" ht="72" x14ac:dyDescent="0.3">
      <c r="B485" s="7" t="s">
        <v>23</v>
      </c>
      <c r="C485" s="15">
        <v>2017</v>
      </c>
      <c r="D485" s="21" t="s">
        <v>31</v>
      </c>
      <c r="E485" s="18" t="s">
        <v>392</v>
      </c>
      <c r="F485" s="30">
        <v>26936192</v>
      </c>
    </row>
    <row r="486" spans="2:6" x14ac:dyDescent="0.3">
      <c r="B486" s="7" t="s">
        <v>23</v>
      </c>
      <c r="C486" s="15">
        <v>2017</v>
      </c>
      <c r="D486" s="21" t="s">
        <v>339</v>
      </c>
      <c r="E486" s="16" t="s">
        <v>393</v>
      </c>
      <c r="F486" s="30">
        <v>26558065</v>
      </c>
    </row>
    <row r="487" spans="2:6" ht="57.6" x14ac:dyDescent="0.3">
      <c r="B487" s="7" t="s">
        <v>23</v>
      </c>
      <c r="C487" s="15">
        <v>2017</v>
      </c>
      <c r="D487" s="22" t="s">
        <v>284</v>
      </c>
      <c r="E487" s="19" t="s">
        <v>394</v>
      </c>
      <c r="F487" s="30">
        <v>19775098</v>
      </c>
    </row>
    <row r="488" spans="2:6" x14ac:dyDescent="0.3">
      <c r="B488" s="7" t="s">
        <v>23</v>
      </c>
      <c r="C488" s="15">
        <v>2017</v>
      </c>
      <c r="D488" s="14" t="s">
        <v>286</v>
      </c>
      <c r="E488" s="14"/>
      <c r="F488" s="30">
        <v>7470120</v>
      </c>
    </row>
    <row r="489" spans="2:6" ht="43.2" x14ac:dyDescent="0.3">
      <c r="B489" s="7" t="s">
        <v>23</v>
      </c>
      <c r="C489" s="15">
        <v>2017</v>
      </c>
      <c r="D489" s="22" t="s">
        <v>287</v>
      </c>
      <c r="E489" s="19" t="s">
        <v>395</v>
      </c>
      <c r="F489" s="30">
        <v>61734</v>
      </c>
    </row>
    <row r="490" spans="2:6" x14ac:dyDescent="0.3">
      <c r="B490" s="7" t="s">
        <v>23</v>
      </c>
      <c r="C490" s="15">
        <v>2017</v>
      </c>
      <c r="D490" s="14" t="s">
        <v>362</v>
      </c>
      <c r="E490" s="14"/>
      <c r="F490" s="30">
        <v>27</v>
      </c>
    </row>
    <row r="491" spans="2:6" x14ac:dyDescent="0.3">
      <c r="B491" s="7" t="s">
        <v>23</v>
      </c>
      <c r="C491" s="15">
        <v>2017</v>
      </c>
      <c r="D491" s="16" t="s">
        <v>289</v>
      </c>
      <c r="E491" s="16"/>
      <c r="F491" s="30">
        <v>80884739</v>
      </c>
    </row>
  </sheetData>
  <autoFilter ref="B3:F479" xr:uid="{00000000-0009-0000-0000-00000F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>
    <tabColor rgb="FF7030A0"/>
  </sheetPr>
  <dimension ref="B1:D65"/>
  <sheetViews>
    <sheetView zoomScale="70" zoomScaleNormal="70" workbookViewId="0">
      <selection activeCell="G20" sqref="G20"/>
    </sheetView>
  </sheetViews>
  <sheetFormatPr defaultRowHeight="14.4" x14ac:dyDescent="0.3"/>
  <cols>
    <col min="2" max="2" width="46" bestFit="1" customWidth="1"/>
    <col min="3" max="3" width="18.33203125" bestFit="1" customWidth="1"/>
    <col min="4" max="4" width="15.88671875" bestFit="1" customWidth="1"/>
  </cols>
  <sheetData>
    <row r="1" spans="2:4" x14ac:dyDescent="0.3">
      <c r="B1" s="362" t="s">
        <v>23</v>
      </c>
      <c r="C1" s="363"/>
      <c r="D1" s="364"/>
    </row>
    <row r="2" spans="2:4" x14ac:dyDescent="0.3">
      <c r="B2" s="63" t="s">
        <v>396</v>
      </c>
      <c r="C2" s="38"/>
      <c r="D2" s="64"/>
    </row>
    <row r="3" spans="2:4" ht="15" customHeight="1" x14ac:dyDescent="0.3">
      <c r="B3" s="65" t="s">
        <v>397</v>
      </c>
      <c r="C3" s="39"/>
      <c r="D3" s="62">
        <v>190772</v>
      </c>
    </row>
    <row r="4" spans="2:4" x14ac:dyDescent="0.3">
      <c r="B4" s="65" t="s">
        <v>398</v>
      </c>
      <c r="C4" s="39"/>
      <c r="D4" s="62"/>
    </row>
    <row r="5" spans="2:4" x14ac:dyDescent="0.3">
      <c r="B5" s="65" t="s">
        <v>399</v>
      </c>
      <c r="C5" s="39">
        <v>265385</v>
      </c>
      <c r="D5" s="62"/>
    </row>
    <row r="6" spans="2:4" x14ac:dyDescent="0.3">
      <c r="B6" s="65" t="s">
        <v>400</v>
      </c>
      <c r="C6" s="39"/>
      <c r="D6" s="62">
        <f>C4+C5</f>
        <v>265385</v>
      </c>
    </row>
    <row r="7" spans="2:4" x14ac:dyDescent="0.3">
      <c r="B7" s="65" t="s">
        <v>401</v>
      </c>
      <c r="C7" s="37">
        <f>D3/D6</f>
        <v>0.71884997268119899</v>
      </c>
      <c r="D7" s="66"/>
    </row>
    <row r="8" spans="2:4" x14ac:dyDescent="0.3">
      <c r="B8" s="65" t="s">
        <v>402</v>
      </c>
      <c r="C8" s="40">
        <f>C7*C4</f>
        <v>0</v>
      </c>
      <c r="D8" s="66"/>
    </row>
    <row r="9" spans="2:4" x14ac:dyDescent="0.3">
      <c r="B9" s="65" t="s">
        <v>403</v>
      </c>
      <c r="C9" s="40">
        <f>C7*C5</f>
        <v>190772</v>
      </c>
      <c r="D9" s="66"/>
    </row>
    <row r="10" spans="2:4" x14ac:dyDescent="0.3">
      <c r="B10" s="63" t="s">
        <v>404</v>
      </c>
      <c r="C10" s="38"/>
      <c r="D10" s="64"/>
    </row>
    <row r="11" spans="2:4" x14ac:dyDescent="0.3">
      <c r="B11" s="65" t="s">
        <v>397</v>
      </c>
      <c r="C11" s="39"/>
      <c r="D11" s="62">
        <v>422353</v>
      </c>
    </row>
    <row r="12" spans="2:4" x14ac:dyDescent="0.3">
      <c r="B12" s="65" t="s">
        <v>398</v>
      </c>
      <c r="C12" s="39"/>
      <c r="D12" s="62"/>
    </row>
    <row r="13" spans="2:4" x14ac:dyDescent="0.3">
      <c r="B13" s="65" t="s">
        <v>399</v>
      </c>
      <c r="C13" s="39">
        <v>579505</v>
      </c>
      <c r="D13" s="62"/>
    </row>
    <row r="14" spans="2:4" x14ac:dyDescent="0.3">
      <c r="B14" s="65" t="s">
        <v>400</v>
      </c>
      <c r="C14" s="39"/>
      <c r="D14" s="62">
        <f>C12+C13</f>
        <v>579505</v>
      </c>
    </row>
    <row r="15" spans="2:4" x14ac:dyDescent="0.3">
      <c r="B15" s="65" t="s">
        <v>401</v>
      </c>
      <c r="C15" s="37">
        <f>D11/D14</f>
        <v>0.72881683505750594</v>
      </c>
      <c r="D15" s="66"/>
    </row>
    <row r="16" spans="2:4" x14ac:dyDescent="0.3">
      <c r="B16" s="65" t="s">
        <v>402</v>
      </c>
      <c r="C16" s="40">
        <f>C15*C12</f>
        <v>0</v>
      </c>
      <c r="D16" s="66"/>
    </row>
    <row r="17" spans="2:4" x14ac:dyDescent="0.3">
      <c r="B17" s="65" t="s">
        <v>403</v>
      </c>
      <c r="C17" s="40">
        <f>C15*C13</f>
        <v>422353</v>
      </c>
      <c r="D17" s="66"/>
    </row>
    <row r="18" spans="2:4" x14ac:dyDescent="0.3">
      <c r="B18" s="63" t="s">
        <v>405</v>
      </c>
      <c r="C18" s="38"/>
      <c r="D18" s="64"/>
    </row>
    <row r="19" spans="2:4" x14ac:dyDescent="0.3">
      <c r="B19" s="65" t="s">
        <v>397</v>
      </c>
      <c r="C19" s="39"/>
      <c r="D19" s="62">
        <v>543487</v>
      </c>
    </row>
    <row r="20" spans="2:4" x14ac:dyDescent="0.3">
      <c r="B20" s="65" t="s">
        <v>398</v>
      </c>
      <c r="C20" s="39">
        <v>745710</v>
      </c>
      <c r="D20" s="62"/>
    </row>
    <row r="21" spans="2:4" x14ac:dyDescent="0.3">
      <c r="B21" s="65" t="s">
        <v>399</v>
      </c>
      <c r="C21" s="39"/>
      <c r="D21" s="62"/>
    </row>
    <row r="22" spans="2:4" x14ac:dyDescent="0.3">
      <c r="B22" s="65" t="s">
        <v>400</v>
      </c>
      <c r="C22" s="39"/>
      <c r="D22" s="62">
        <f>C20+C21</f>
        <v>745710</v>
      </c>
    </row>
    <row r="23" spans="2:4" x14ac:dyDescent="0.3">
      <c r="B23" s="65" t="s">
        <v>401</v>
      </c>
      <c r="C23" s="37">
        <f>D19/D22</f>
        <v>0.72881817328452081</v>
      </c>
      <c r="D23" s="66"/>
    </row>
    <row r="24" spans="2:4" x14ac:dyDescent="0.3">
      <c r="B24" s="65" t="s">
        <v>402</v>
      </c>
      <c r="C24" s="40">
        <f>C23*C20</f>
        <v>543487</v>
      </c>
      <c r="D24" s="66"/>
    </row>
    <row r="25" spans="2:4" x14ac:dyDescent="0.3">
      <c r="B25" s="65" t="s">
        <v>403</v>
      </c>
      <c r="C25" s="40">
        <f>C23*C21</f>
        <v>0</v>
      </c>
      <c r="D25" s="66"/>
    </row>
    <row r="26" spans="2:4" x14ac:dyDescent="0.3">
      <c r="B26" s="63" t="s">
        <v>406</v>
      </c>
      <c r="C26" s="38"/>
      <c r="D26" s="64"/>
    </row>
    <row r="27" spans="2:4" x14ac:dyDescent="0.3">
      <c r="B27" s="65" t="s">
        <v>397</v>
      </c>
      <c r="C27" s="39"/>
      <c r="D27" s="62">
        <v>688027</v>
      </c>
    </row>
    <row r="28" spans="2:4" x14ac:dyDescent="0.3">
      <c r="B28" s="65" t="s">
        <v>398</v>
      </c>
      <c r="C28" s="39">
        <v>954268</v>
      </c>
      <c r="D28" s="62"/>
    </row>
    <row r="29" spans="2:4" x14ac:dyDescent="0.3">
      <c r="B29" s="65" t="s">
        <v>399</v>
      </c>
      <c r="C29" s="39"/>
      <c r="D29" s="62"/>
    </row>
    <row r="30" spans="2:4" x14ac:dyDescent="0.3">
      <c r="B30" s="65" t="s">
        <v>400</v>
      </c>
      <c r="C30" s="39"/>
      <c r="D30" s="62">
        <f>C28+C29</f>
        <v>954268</v>
      </c>
    </row>
    <row r="31" spans="2:4" x14ac:dyDescent="0.3">
      <c r="B31" s="65" t="s">
        <v>401</v>
      </c>
      <c r="C31" s="37">
        <f>D27/D30</f>
        <v>0.72099976107340913</v>
      </c>
      <c r="D31" s="66"/>
    </row>
    <row r="32" spans="2:4" x14ac:dyDescent="0.3">
      <c r="B32" s="65" t="s">
        <v>402</v>
      </c>
      <c r="C32" s="40">
        <f>C31*C28</f>
        <v>688027</v>
      </c>
      <c r="D32" s="66"/>
    </row>
    <row r="33" spans="2:4" x14ac:dyDescent="0.3">
      <c r="B33" s="65" t="s">
        <v>403</v>
      </c>
      <c r="C33" s="40">
        <f>C31*C29</f>
        <v>0</v>
      </c>
      <c r="D33" s="66"/>
    </row>
    <row r="34" spans="2:4" x14ac:dyDescent="0.3">
      <c r="B34" s="63" t="s">
        <v>407</v>
      </c>
      <c r="C34" s="38"/>
      <c r="D34" s="64"/>
    </row>
    <row r="35" spans="2:4" x14ac:dyDescent="0.3">
      <c r="B35" s="65" t="s">
        <v>397</v>
      </c>
      <c r="C35" s="39"/>
      <c r="D35" s="62">
        <v>1080109</v>
      </c>
    </row>
    <row r="36" spans="2:4" x14ac:dyDescent="0.3">
      <c r="B36" s="65" t="s">
        <v>398</v>
      </c>
      <c r="C36" s="39">
        <v>1367986</v>
      </c>
      <c r="D36" s="62"/>
    </row>
    <row r="37" spans="2:4" x14ac:dyDescent="0.3">
      <c r="B37" s="65" t="s">
        <v>399</v>
      </c>
      <c r="C37" s="39">
        <v>130085</v>
      </c>
      <c r="D37" s="62"/>
    </row>
    <row r="38" spans="2:4" x14ac:dyDescent="0.3">
      <c r="B38" s="65" t="s">
        <v>400</v>
      </c>
      <c r="C38" s="39"/>
      <c r="D38" s="62">
        <f>C36+C37</f>
        <v>1498071</v>
      </c>
    </row>
    <row r="39" spans="2:4" x14ac:dyDescent="0.3">
      <c r="B39" s="65" t="s">
        <v>401</v>
      </c>
      <c r="C39" s="37">
        <f>D35/D38</f>
        <v>0.72099987250270514</v>
      </c>
      <c r="D39" s="66"/>
    </row>
    <row r="40" spans="2:4" x14ac:dyDescent="0.3">
      <c r="B40" s="65" t="s">
        <v>402</v>
      </c>
      <c r="C40" s="40">
        <f>C39*C36</f>
        <v>986317.73158548563</v>
      </c>
      <c r="D40" s="66"/>
    </row>
    <row r="41" spans="2:4" x14ac:dyDescent="0.3">
      <c r="B41" s="65" t="s">
        <v>403</v>
      </c>
      <c r="C41" s="40">
        <f>C39*C37</f>
        <v>93791.268414514401</v>
      </c>
      <c r="D41" s="66"/>
    </row>
    <row r="42" spans="2:4" x14ac:dyDescent="0.3">
      <c r="B42" s="63" t="s">
        <v>408</v>
      </c>
      <c r="C42" s="38"/>
      <c r="D42" s="64"/>
    </row>
    <row r="43" spans="2:4" x14ac:dyDescent="0.3">
      <c r="B43" s="65" t="s">
        <v>397</v>
      </c>
      <c r="C43" s="39"/>
      <c r="D43" s="62">
        <v>1660829</v>
      </c>
    </row>
    <row r="44" spans="2:4" x14ac:dyDescent="0.3">
      <c r="B44" s="65" t="s">
        <v>398</v>
      </c>
      <c r="C44" s="39">
        <v>1131871</v>
      </c>
      <c r="D44" s="62"/>
    </row>
    <row r="45" spans="2:4" x14ac:dyDescent="0.3">
      <c r="B45" s="65" t="s">
        <v>399</v>
      </c>
      <c r="C45" s="39">
        <v>1043096</v>
      </c>
      <c r="D45" s="62"/>
    </row>
    <row r="46" spans="2:4" x14ac:dyDescent="0.3">
      <c r="B46" s="65" t="s">
        <v>400</v>
      </c>
      <c r="C46" s="39"/>
      <c r="D46" s="62">
        <f>C44+C45</f>
        <v>2174967</v>
      </c>
    </row>
    <row r="47" spans="2:4" x14ac:dyDescent="0.3">
      <c r="B47" s="65" t="s">
        <v>401</v>
      </c>
      <c r="C47" s="37">
        <f>D43/D46</f>
        <v>0.76361112605386661</v>
      </c>
      <c r="D47" s="66"/>
    </row>
    <row r="48" spans="2:4" x14ac:dyDescent="0.3">
      <c r="B48" s="65" t="s">
        <v>402</v>
      </c>
      <c r="C48" s="40">
        <f>C47*C44</f>
        <v>864309.28885771602</v>
      </c>
      <c r="D48" s="66"/>
    </row>
    <row r="49" spans="2:4" x14ac:dyDescent="0.3">
      <c r="B49" s="65" t="s">
        <v>403</v>
      </c>
      <c r="C49" s="40">
        <f>C47*C45</f>
        <v>796519.7111422841</v>
      </c>
      <c r="D49" s="66"/>
    </row>
    <row r="50" spans="2:4" x14ac:dyDescent="0.3">
      <c r="B50" s="63" t="s">
        <v>409</v>
      </c>
      <c r="C50" s="38"/>
      <c r="D50" s="64"/>
    </row>
    <row r="51" spans="2:4" x14ac:dyDescent="0.3">
      <c r="B51" s="65" t="s">
        <v>397</v>
      </c>
      <c r="C51" s="39"/>
      <c r="D51" s="62">
        <v>1357599</v>
      </c>
    </row>
    <row r="52" spans="2:4" x14ac:dyDescent="0.3">
      <c r="B52" s="65" t="s">
        <v>398</v>
      </c>
      <c r="C52" s="39">
        <v>1338051</v>
      </c>
      <c r="D52" s="62"/>
    </row>
    <row r="53" spans="2:4" x14ac:dyDescent="0.3">
      <c r="B53" s="65" t="s">
        <v>399</v>
      </c>
      <c r="C53" s="39">
        <v>685196</v>
      </c>
      <c r="D53" s="62"/>
    </row>
    <row r="54" spans="2:4" x14ac:dyDescent="0.3">
      <c r="B54" s="65" t="s">
        <v>400</v>
      </c>
      <c r="C54" s="39"/>
      <c r="D54" s="62">
        <f>C52+C53</f>
        <v>2023247</v>
      </c>
    </row>
    <row r="55" spans="2:4" x14ac:dyDescent="0.3">
      <c r="B55" s="65" t="s">
        <v>401</v>
      </c>
      <c r="C55" s="37">
        <f>D51/D54</f>
        <v>0.67100012998907199</v>
      </c>
      <c r="D55" s="66"/>
    </row>
    <row r="56" spans="2:4" x14ac:dyDescent="0.3">
      <c r="B56" s="65" t="s">
        <v>402</v>
      </c>
      <c r="C56" s="40">
        <f>C55*C52</f>
        <v>897832.39493200777</v>
      </c>
      <c r="D56" s="66"/>
    </row>
    <row r="57" spans="2:4" x14ac:dyDescent="0.3">
      <c r="B57" s="65" t="s">
        <v>403</v>
      </c>
      <c r="C57" s="40">
        <f>C55*C53</f>
        <v>459766.60506799218</v>
      </c>
      <c r="D57" s="66"/>
    </row>
    <row r="58" spans="2:4" x14ac:dyDescent="0.3">
      <c r="B58" s="63" t="s">
        <v>410</v>
      </c>
      <c r="C58" s="38"/>
      <c r="D58" s="64"/>
    </row>
    <row r="59" spans="2:4" x14ac:dyDescent="0.3">
      <c r="B59" s="65" t="s">
        <v>397</v>
      </c>
      <c r="C59" s="39"/>
      <c r="D59" s="62">
        <v>2305083</v>
      </c>
    </row>
    <row r="60" spans="2:4" x14ac:dyDescent="0.3">
      <c r="B60" s="65" t="s">
        <v>398</v>
      </c>
      <c r="C60" s="39">
        <v>1548227</v>
      </c>
      <c r="D60" s="62"/>
    </row>
    <row r="61" spans="2:4" x14ac:dyDescent="0.3">
      <c r="B61" s="65" t="s">
        <v>399</v>
      </c>
      <c r="C61" s="39">
        <v>1972921</v>
      </c>
      <c r="D61" s="62"/>
    </row>
    <row r="62" spans="2:4" x14ac:dyDescent="0.3">
      <c r="B62" s="65" t="s">
        <v>400</v>
      </c>
      <c r="C62" s="39"/>
      <c r="D62" s="62">
        <f>C60+C61</f>
        <v>3521148</v>
      </c>
    </row>
    <row r="63" spans="2:4" x14ac:dyDescent="0.3">
      <c r="B63" s="65" t="s">
        <v>401</v>
      </c>
      <c r="C63" s="37">
        <f>D59/D62</f>
        <v>0.65463962321379277</v>
      </c>
      <c r="D63" s="66"/>
    </row>
    <row r="64" spans="2:4" x14ac:dyDescent="0.3">
      <c r="B64" s="65" t="s">
        <v>402</v>
      </c>
      <c r="C64" s="40">
        <f>C63*C60</f>
        <v>1013530.7399294208</v>
      </c>
      <c r="D64" s="66"/>
    </row>
    <row r="65" spans="2:4" ht="15" thickBot="1" x14ac:dyDescent="0.35">
      <c r="B65" s="67" t="s">
        <v>403</v>
      </c>
      <c r="C65" s="68">
        <f>C63*C61</f>
        <v>1291552.2600705791</v>
      </c>
      <c r="D65" s="69"/>
    </row>
  </sheetData>
  <mergeCells count="1">
    <mergeCell ref="B1:D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C2:J13"/>
  <sheetViews>
    <sheetView workbookViewId="0">
      <selection activeCell="N17" sqref="N17"/>
    </sheetView>
  </sheetViews>
  <sheetFormatPr defaultRowHeight="14.4" x14ac:dyDescent="0.3"/>
  <cols>
    <col min="4" max="4" width="19.109375" bestFit="1" customWidth="1"/>
    <col min="8" max="8" width="7.33203125" customWidth="1"/>
    <col min="9" max="9" width="2" bestFit="1" customWidth="1"/>
    <col min="10" max="10" width="17.6640625" style="1" bestFit="1" customWidth="1"/>
  </cols>
  <sheetData>
    <row r="2" spans="3:10" x14ac:dyDescent="0.3">
      <c r="C2" s="366" t="s">
        <v>411</v>
      </c>
      <c r="D2" s="366"/>
      <c r="E2" s="288" t="s">
        <v>3</v>
      </c>
    </row>
    <row r="3" spans="3:10" x14ac:dyDescent="0.3">
      <c r="C3" s="125" t="s">
        <v>97</v>
      </c>
      <c r="D3" s="126">
        <v>1369201171</v>
      </c>
      <c r="E3" s="37">
        <f>D3/(SUM($D$3:$D$7))</f>
        <v>0.38941052690899081</v>
      </c>
      <c r="H3" s="365" t="s">
        <v>412</v>
      </c>
      <c r="I3" s="365" t="s">
        <v>413</v>
      </c>
      <c r="J3" s="287" t="s">
        <v>414</v>
      </c>
    </row>
    <row r="4" spans="3:10" x14ac:dyDescent="0.3">
      <c r="C4" s="125" t="s">
        <v>98</v>
      </c>
      <c r="D4" s="126">
        <v>1260767575</v>
      </c>
      <c r="E4" s="37">
        <f t="shared" ref="E4:E7" si="0">D4/(SUM($D$3:$D$7))</f>
        <v>0.35857124291819686</v>
      </c>
      <c r="H4" s="365"/>
      <c r="I4" s="365"/>
      <c r="J4" s="287" t="s">
        <v>415</v>
      </c>
    </row>
    <row r="5" spans="3:10" x14ac:dyDescent="0.3">
      <c r="C5" s="125" t="s">
        <v>31</v>
      </c>
      <c r="D5" s="126">
        <v>867517060</v>
      </c>
      <c r="E5" s="37">
        <f t="shared" si="0"/>
        <v>0.24672800651376203</v>
      </c>
    </row>
    <row r="6" spans="3:10" x14ac:dyDescent="0.3">
      <c r="C6" s="125" t="s">
        <v>36</v>
      </c>
      <c r="D6" s="127">
        <v>1716762</v>
      </c>
      <c r="E6" s="37">
        <f t="shared" si="0"/>
        <v>4.8825929246691603E-4</v>
      </c>
      <c r="H6" s="365" t="s">
        <v>416</v>
      </c>
      <c r="I6" s="365" t="s">
        <v>413</v>
      </c>
      <c r="J6" s="132" t="s">
        <v>417</v>
      </c>
    </row>
    <row r="7" spans="3:10" x14ac:dyDescent="0.3">
      <c r="C7" s="125" t="s">
        <v>35</v>
      </c>
      <c r="D7" s="127">
        <v>16884123</v>
      </c>
      <c r="E7" s="37">
        <f t="shared" si="0"/>
        <v>4.8019643665833606E-3</v>
      </c>
      <c r="H7" s="365"/>
      <c r="I7" s="365"/>
      <c r="J7" s="1" t="s">
        <v>415</v>
      </c>
    </row>
    <row r="8" spans="3:10" x14ac:dyDescent="0.3">
      <c r="C8" s="128" t="s">
        <v>158</v>
      </c>
      <c r="D8" s="129">
        <f>SUM(D3:D7)</f>
        <v>3516086691</v>
      </c>
      <c r="E8" s="130">
        <f>SUM(E3:E7)</f>
        <v>0.99999999999999989</v>
      </c>
    </row>
    <row r="9" spans="3:10" x14ac:dyDescent="0.3">
      <c r="H9" s="365" t="s">
        <v>416</v>
      </c>
      <c r="I9" s="365" t="s">
        <v>413</v>
      </c>
      <c r="J9" s="132" t="s">
        <v>418</v>
      </c>
    </row>
    <row r="10" spans="3:10" x14ac:dyDescent="0.3">
      <c r="H10" s="365"/>
      <c r="I10" s="365"/>
      <c r="J10" s="1" t="s">
        <v>415</v>
      </c>
    </row>
    <row r="12" spans="3:10" x14ac:dyDescent="0.3">
      <c r="H12" s="365" t="s">
        <v>412</v>
      </c>
      <c r="I12" s="365" t="s">
        <v>413</v>
      </c>
      <c r="J12" s="133" t="s">
        <v>419</v>
      </c>
    </row>
    <row r="13" spans="3:10" x14ac:dyDescent="0.3">
      <c r="H13" s="365"/>
      <c r="I13" s="365"/>
      <c r="J13" s="287" t="s">
        <v>420</v>
      </c>
    </row>
  </sheetData>
  <mergeCells count="9">
    <mergeCell ref="H12:H13"/>
    <mergeCell ref="I12:I13"/>
    <mergeCell ref="C2:D2"/>
    <mergeCell ref="H3:H4"/>
    <mergeCell ref="I3:I4"/>
    <mergeCell ref="H6:H7"/>
    <mergeCell ref="I6:I7"/>
    <mergeCell ref="H9:H10"/>
    <mergeCell ref="I9:I10"/>
  </mergeCells>
  <conditionalFormatting sqref="D3">
    <cfRule type="cellIs" dxfId="2" priority="4" operator="between">
      <formula>0</formula>
      <formula>-10000000000</formula>
    </cfRule>
  </conditionalFormatting>
  <conditionalFormatting sqref="D4">
    <cfRule type="cellIs" dxfId="1" priority="3" operator="between">
      <formula>0</formula>
      <formula>-10000000000</formula>
    </cfRule>
  </conditionalFormatting>
  <conditionalFormatting sqref="D5">
    <cfRule type="cellIs" dxfId="0" priority="1" operator="between">
      <formula>0</formula>
      <formula>-10000000000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C53"/>
  <sheetViews>
    <sheetView workbookViewId="0">
      <selection activeCell="E18" sqref="E18"/>
    </sheetView>
  </sheetViews>
  <sheetFormatPr defaultRowHeight="14.4" x14ac:dyDescent="0.3"/>
  <cols>
    <col min="1" max="1" width="14.109375" bestFit="1" customWidth="1"/>
    <col min="3" max="3" width="21.5546875" customWidth="1"/>
  </cols>
  <sheetData>
    <row r="1" spans="1:3" ht="15" thickBot="1" x14ac:dyDescent="0.35">
      <c r="A1" t="s">
        <v>38</v>
      </c>
    </row>
    <row r="2" spans="1:3" ht="29.4" thickBot="1" x14ac:dyDescent="0.35">
      <c r="A2" s="95">
        <v>27432</v>
      </c>
      <c r="C2" s="97" t="s">
        <v>16</v>
      </c>
    </row>
    <row r="3" spans="1:3" x14ac:dyDescent="0.3">
      <c r="A3" s="96">
        <v>25536</v>
      </c>
      <c r="C3" s="98" t="s">
        <v>24</v>
      </c>
    </row>
    <row r="4" spans="1:3" x14ac:dyDescent="0.3">
      <c r="A4" s="96">
        <v>16514</v>
      </c>
      <c r="C4" s="99">
        <v>0</v>
      </c>
    </row>
    <row r="5" spans="1:3" x14ac:dyDescent="0.3">
      <c r="A5" s="96">
        <v>49196</v>
      </c>
      <c r="C5" s="99">
        <v>0</v>
      </c>
    </row>
    <row r="6" spans="1:3" x14ac:dyDescent="0.3">
      <c r="A6" s="95">
        <v>0</v>
      </c>
      <c r="C6" s="99">
        <v>0</v>
      </c>
    </row>
    <row r="7" spans="1:3" x14ac:dyDescent="0.3">
      <c r="A7" s="95">
        <v>0</v>
      </c>
      <c r="C7" s="99">
        <v>0</v>
      </c>
    </row>
    <row r="8" spans="1:3" x14ac:dyDescent="0.3">
      <c r="C8" s="100">
        <v>0</v>
      </c>
    </row>
    <row r="9" spans="1:3" x14ac:dyDescent="0.3">
      <c r="C9" s="99">
        <v>0</v>
      </c>
    </row>
    <row r="10" spans="1:3" x14ac:dyDescent="0.3">
      <c r="C10" s="99">
        <v>0</v>
      </c>
    </row>
    <row r="11" spans="1:3" x14ac:dyDescent="0.3">
      <c r="C11" s="99">
        <v>0</v>
      </c>
    </row>
    <row r="12" spans="1:3" x14ac:dyDescent="0.3">
      <c r="C12" s="99">
        <v>0</v>
      </c>
    </row>
    <row r="13" spans="1:3" x14ac:dyDescent="0.3">
      <c r="C13" s="99">
        <v>0</v>
      </c>
    </row>
    <row r="14" spans="1:3" x14ac:dyDescent="0.3">
      <c r="C14" s="99">
        <v>8214555</v>
      </c>
    </row>
    <row r="15" spans="1:3" x14ac:dyDescent="0.3">
      <c r="C15" s="99">
        <v>8324729</v>
      </c>
    </row>
    <row r="16" spans="1:3" x14ac:dyDescent="0.3">
      <c r="C16" s="99">
        <v>149587</v>
      </c>
    </row>
    <row r="17" spans="3:3" x14ac:dyDescent="0.3">
      <c r="C17" s="99">
        <v>8355877</v>
      </c>
    </row>
    <row r="18" spans="3:3" x14ac:dyDescent="0.3">
      <c r="C18" s="99">
        <v>8175552</v>
      </c>
    </row>
    <row r="19" spans="3:3" ht="15" thickBot="1" x14ac:dyDescent="0.35">
      <c r="C19" s="101">
        <v>8197342</v>
      </c>
    </row>
    <row r="20" spans="3:3" x14ac:dyDescent="0.3">
      <c r="C20" s="102">
        <v>3340319</v>
      </c>
    </row>
    <row r="21" spans="3:3" x14ac:dyDescent="0.3">
      <c r="C21" s="103">
        <v>5818298</v>
      </c>
    </row>
    <row r="22" spans="3:3" x14ac:dyDescent="0.3">
      <c r="C22" s="103">
        <v>8615198</v>
      </c>
    </row>
    <row r="23" spans="3:3" x14ac:dyDescent="0.3">
      <c r="C23" s="103">
        <v>11426453</v>
      </c>
    </row>
    <row r="24" spans="3:3" x14ac:dyDescent="0.3">
      <c r="C24" s="103">
        <v>12399241</v>
      </c>
    </row>
    <row r="25" spans="3:3" x14ac:dyDescent="0.3">
      <c r="C25" s="103">
        <v>17046780</v>
      </c>
    </row>
    <row r="26" spans="3:3" x14ac:dyDescent="0.3">
      <c r="C26" s="103">
        <v>20665149</v>
      </c>
    </row>
    <row r="27" spans="3:3" x14ac:dyDescent="0.3">
      <c r="C27" s="103">
        <v>29120526</v>
      </c>
    </row>
    <row r="28" spans="3:3" x14ac:dyDescent="0.3">
      <c r="C28" s="103">
        <v>41109980</v>
      </c>
    </row>
    <row r="29" spans="3:3" x14ac:dyDescent="0.3">
      <c r="C29" s="103">
        <v>54172591</v>
      </c>
    </row>
    <row r="30" spans="3:3" x14ac:dyDescent="0.3">
      <c r="C30" s="103">
        <v>80599183</v>
      </c>
    </row>
    <row r="31" spans="3:3" x14ac:dyDescent="0.3">
      <c r="C31" s="104">
        <v>123737439</v>
      </c>
    </row>
    <row r="32" spans="3:3" x14ac:dyDescent="0.3">
      <c r="C32" s="103">
        <v>158322179</v>
      </c>
    </row>
    <row r="33" spans="3:3" x14ac:dyDescent="0.3">
      <c r="C33" s="103">
        <v>177431598</v>
      </c>
    </row>
    <row r="34" spans="3:3" x14ac:dyDescent="0.3">
      <c r="C34" s="103">
        <v>207682167</v>
      </c>
    </row>
    <row r="35" spans="3:3" x14ac:dyDescent="0.3">
      <c r="C35" s="103">
        <v>238966421</v>
      </c>
    </row>
    <row r="36" spans="3:3" ht="15" thickBot="1" x14ac:dyDescent="0.35">
      <c r="C36" s="105">
        <v>269553942</v>
      </c>
    </row>
    <row r="37" spans="3:3" x14ac:dyDescent="0.3">
      <c r="C37" s="106" t="s">
        <v>24</v>
      </c>
    </row>
    <row r="38" spans="3:3" x14ac:dyDescent="0.3">
      <c r="C38" s="107">
        <v>15337514</v>
      </c>
    </row>
    <row r="39" spans="3:3" x14ac:dyDescent="0.3">
      <c r="C39" s="107">
        <v>18059336</v>
      </c>
    </row>
    <row r="40" spans="3:3" x14ac:dyDescent="0.3">
      <c r="C40" s="107">
        <v>20577084</v>
      </c>
    </row>
    <row r="41" spans="3:3" x14ac:dyDescent="0.3">
      <c r="C41" s="107">
        <v>19622038</v>
      </c>
    </row>
    <row r="42" spans="3:3" x14ac:dyDescent="0.3">
      <c r="C42" s="107">
        <v>9622331</v>
      </c>
    </row>
    <row r="43" spans="3:3" x14ac:dyDescent="0.3">
      <c r="C43" s="107">
        <v>8235190</v>
      </c>
    </row>
    <row r="44" spans="3:3" x14ac:dyDescent="0.3">
      <c r="C44" s="107">
        <v>37182784</v>
      </c>
    </row>
    <row r="45" spans="3:3" x14ac:dyDescent="0.3">
      <c r="C45" s="107">
        <v>131824447</v>
      </c>
    </row>
    <row r="46" spans="3:3" x14ac:dyDescent="0.3">
      <c r="C46" s="107">
        <v>239823527</v>
      </c>
    </row>
    <row r="47" spans="3:3" x14ac:dyDescent="0.3">
      <c r="C47" s="107">
        <v>296998647</v>
      </c>
    </row>
    <row r="48" spans="3:3" x14ac:dyDescent="0.3">
      <c r="C48" s="107">
        <v>358795809</v>
      </c>
    </row>
    <row r="49" spans="3:3" x14ac:dyDescent="0.3">
      <c r="C49" s="107">
        <v>395774811</v>
      </c>
    </row>
    <row r="50" spans="3:3" x14ac:dyDescent="0.3">
      <c r="C50" s="107">
        <v>468422359</v>
      </c>
    </row>
    <row r="51" spans="3:3" x14ac:dyDescent="0.3">
      <c r="C51" s="107">
        <v>487124393</v>
      </c>
    </row>
    <row r="52" spans="3:3" x14ac:dyDescent="0.3">
      <c r="C52" s="108">
        <v>403512726</v>
      </c>
    </row>
    <row r="53" spans="3:3" ht="15" thickBot="1" x14ac:dyDescent="0.35">
      <c r="C53" s="109">
        <v>379877246</v>
      </c>
    </row>
  </sheetData>
  <conditionalFormatting sqref="A2:A7">
    <cfRule type="cellIs" dxfId="15" priority="2" operator="between">
      <formula>0</formula>
      <formula>-10000000000</formula>
    </cfRule>
  </conditionalFormatting>
  <conditionalFormatting sqref="C3:C53">
    <cfRule type="cellIs" dxfId="14" priority="1" operator="between">
      <formula>0</formula>
      <formula>-10000000000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>
    <tabColor rgb="FFFF0000"/>
  </sheetPr>
  <dimension ref="B2:Y107"/>
  <sheetViews>
    <sheetView showGridLines="0" tabSelected="1" zoomScaleNormal="100" workbookViewId="0">
      <pane xSplit="3" ySplit="2" topLeftCell="Q3" activePane="bottomRight" state="frozen"/>
      <selection pane="topRight" activeCell="D1" sqref="D1"/>
      <selection pane="bottomLeft" activeCell="A3" sqref="A3"/>
      <selection pane="bottomRight" activeCell="V6" sqref="V6"/>
    </sheetView>
  </sheetViews>
  <sheetFormatPr defaultColWidth="9.109375" defaultRowHeight="14.4" x14ac:dyDescent="0.3"/>
  <cols>
    <col min="1" max="1" width="2.33203125" style="213" customWidth="1"/>
    <col min="2" max="2" width="16.5546875" style="220" bestFit="1" customWidth="1"/>
    <col min="3" max="3" width="7.6640625" style="289" bestFit="1" customWidth="1"/>
    <col min="4" max="4" width="20.33203125" style="290" hidden="1" customWidth="1"/>
    <col min="5" max="5" width="9.5546875" style="208" hidden="1" customWidth="1"/>
    <col min="6" max="6" width="17.5546875" style="208" bestFit="1" customWidth="1"/>
    <col min="7" max="7" width="19.6640625" style="291" bestFit="1" customWidth="1"/>
    <col min="8" max="8" width="16.88671875" style="290" hidden="1" customWidth="1"/>
    <col min="9" max="9" width="16.88671875" style="290" bestFit="1" customWidth="1"/>
    <col min="10" max="10" width="16.88671875" style="290" hidden="1" customWidth="1"/>
    <col min="11" max="11" width="18" style="290" hidden="1" customWidth="1"/>
    <col min="12" max="12" width="17.88671875" style="290" hidden="1" customWidth="1"/>
    <col min="13" max="13" width="17.33203125" style="290" hidden="1" customWidth="1"/>
    <col min="14" max="14" width="19.88671875" style="290" customWidth="1"/>
    <col min="15" max="15" width="16" style="292" bestFit="1" customWidth="1"/>
    <col min="16" max="16" width="18.5546875" style="292" bestFit="1" customWidth="1"/>
    <col min="17" max="17" width="21.5546875" style="292" customWidth="1"/>
    <col min="18" max="18" width="21.5546875" style="213" customWidth="1"/>
    <col min="19" max="19" width="21.5546875" style="292" customWidth="1"/>
    <col min="20" max="20" width="16.44140625" style="213" hidden="1" customWidth="1"/>
    <col min="21" max="21" width="9.88671875" style="328" bestFit="1" customWidth="1"/>
    <col min="22" max="22" width="14.88671875" style="328" bestFit="1" customWidth="1"/>
    <col min="23" max="23" width="12.6640625" style="328" bestFit="1" customWidth="1"/>
    <col min="24" max="24" width="11" style="328" customWidth="1"/>
    <col min="25" max="25" width="8" style="326" bestFit="1" customWidth="1"/>
    <col min="26" max="16384" width="9.109375" style="213"/>
  </cols>
  <sheetData>
    <row r="2" spans="2:25" s="220" customFormat="1" ht="43.2" x14ac:dyDescent="0.3">
      <c r="B2" s="293" t="s">
        <v>0</v>
      </c>
      <c r="C2" s="294" t="s">
        <v>1</v>
      </c>
      <c r="D2" s="295" t="s">
        <v>2</v>
      </c>
      <c r="E2" s="296" t="s">
        <v>3</v>
      </c>
      <c r="F2" s="296" t="s">
        <v>4</v>
      </c>
      <c r="G2" s="295" t="s">
        <v>5</v>
      </c>
      <c r="H2" s="295" t="s">
        <v>6</v>
      </c>
      <c r="I2" s="295" t="s">
        <v>7</v>
      </c>
      <c r="J2" s="295" t="s">
        <v>8</v>
      </c>
      <c r="K2" s="295" t="s">
        <v>9</v>
      </c>
      <c r="L2" s="295" t="s">
        <v>10</v>
      </c>
      <c r="M2" s="295" t="s">
        <v>11</v>
      </c>
      <c r="N2" s="295" t="s">
        <v>12</v>
      </c>
      <c r="O2" s="293" t="s">
        <v>13</v>
      </c>
      <c r="P2" s="293" t="s">
        <v>14</v>
      </c>
      <c r="Q2" s="293" t="s">
        <v>15</v>
      </c>
      <c r="R2" s="293" t="s">
        <v>16</v>
      </c>
      <c r="S2" s="293" t="s">
        <v>17</v>
      </c>
      <c r="U2" s="331" t="s">
        <v>18</v>
      </c>
      <c r="V2" s="331" t="s">
        <v>19</v>
      </c>
      <c r="W2" s="331" t="s">
        <v>20</v>
      </c>
      <c r="X2" s="331" t="s">
        <v>21</v>
      </c>
      <c r="Y2" s="331" t="s">
        <v>22</v>
      </c>
    </row>
    <row r="3" spans="2:25" hidden="1" x14ac:dyDescent="0.3">
      <c r="B3" s="297" t="s">
        <v>23</v>
      </c>
      <c r="C3" s="298">
        <v>2001</v>
      </c>
      <c r="D3" s="299">
        <v>8747353</v>
      </c>
      <c r="E3" s="300"/>
      <c r="F3" s="300"/>
      <c r="G3" s="301">
        <v>165120024</v>
      </c>
      <c r="H3" s="299">
        <v>1081952</v>
      </c>
      <c r="I3" s="299"/>
      <c r="J3" s="299">
        <v>0</v>
      </c>
      <c r="K3" s="299">
        <v>0</v>
      </c>
      <c r="L3" s="302">
        <f t="shared" ref="L3" si="0">J3-K3</f>
        <v>0</v>
      </c>
      <c r="M3" s="302">
        <f t="shared" ref="M3" si="1">H3-L3</f>
        <v>1081952</v>
      </c>
      <c r="N3" s="302"/>
      <c r="O3" s="299">
        <v>190772</v>
      </c>
      <c r="P3" s="299" t="s">
        <v>24</v>
      </c>
      <c r="Q3" s="299"/>
      <c r="R3" s="299" t="s">
        <v>24</v>
      </c>
      <c r="S3" s="299"/>
      <c r="T3" s="213" t="s">
        <v>25</v>
      </c>
    </row>
    <row r="4" spans="2:25" x14ac:dyDescent="0.3">
      <c r="B4" s="303" t="s">
        <v>23</v>
      </c>
      <c r="C4" s="310">
        <v>2002</v>
      </c>
      <c r="D4" s="311">
        <v>9197065</v>
      </c>
      <c r="E4" s="312">
        <v>0.71799999999999997</v>
      </c>
      <c r="F4" s="313">
        <f t="shared" ref="F4:F18" si="2">D4*E4</f>
        <v>6603492.6699999999</v>
      </c>
      <c r="G4" s="313">
        <v>204594608</v>
      </c>
      <c r="H4" s="311">
        <v>2027676</v>
      </c>
      <c r="I4" s="311">
        <f>H4*E4</f>
        <v>1455871.368</v>
      </c>
      <c r="J4" s="311">
        <f t="shared" ref="J4:J10" si="3">K3</f>
        <v>0</v>
      </c>
      <c r="K4" s="311">
        <v>-1110815</v>
      </c>
      <c r="L4" s="311">
        <f>K4-J4</f>
        <v>-1110815</v>
      </c>
      <c r="M4" s="311">
        <f>H4+L4</f>
        <v>916861</v>
      </c>
      <c r="N4" s="311">
        <f>M4*E4</f>
        <v>658306.19799999997</v>
      </c>
      <c r="O4" s="314">
        <v>422353</v>
      </c>
      <c r="P4" s="314">
        <v>0</v>
      </c>
      <c r="Q4" s="314">
        <f>O4+P4</f>
        <v>422353</v>
      </c>
      <c r="R4" s="311">
        <v>0</v>
      </c>
      <c r="S4" s="314">
        <v>0</v>
      </c>
      <c r="T4" s="315"/>
      <c r="U4" s="329">
        <f>I4/F4</f>
        <v>0.22046989990828597</v>
      </c>
      <c r="V4" s="330">
        <f>N4/F4</f>
        <v>9.9690607818907442E-2</v>
      </c>
      <c r="W4" s="330">
        <f>(I4+S4)/(F4+R4)</f>
        <v>0.22046989990828597</v>
      </c>
      <c r="X4" s="330">
        <f>(N4+S4)/(F4+R4)</f>
        <v>9.9690607818907442E-2</v>
      </c>
      <c r="Y4" s="330">
        <v>0.19210000000000002</v>
      </c>
    </row>
    <row r="5" spans="2:25" x14ac:dyDescent="0.3">
      <c r="B5" s="303" t="s">
        <v>23</v>
      </c>
      <c r="C5" s="310">
        <v>2003</v>
      </c>
      <c r="D5" s="311">
        <v>12171798</v>
      </c>
      <c r="E5" s="312">
        <v>0.71799999999999997</v>
      </c>
      <c r="F5" s="313">
        <f t="shared" si="2"/>
        <v>8739350.9639999997</v>
      </c>
      <c r="G5" s="313">
        <v>230144447</v>
      </c>
      <c r="H5" s="311">
        <v>2380982</v>
      </c>
      <c r="I5" s="311">
        <f t="shared" ref="I5:I36" si="4">H5*E5</f>
        <v>1709545.0759999999</v>
      </c>
      <c r="J5" s="311">
        <f t="shared" si="3"/>
        <v>-1110815</v>
      </c>
      <c r="K5" s="311">
        <v>227824</v>
      </c>
      <c r="L5" s="311">
        <f t="shared" ref="L5:L11" si="5">K5-J5</f>
        <v>1338639</v>
      </c>
      <c r="M5" s="311">
        <f t="shared" ref="M5:M11" si="6">H5+L5</f>
        <v>3719621</v>
      </c>
      <c r="N5" s="311">
        <f t="shared" ref="N5:N36" si="7">M5*E5</f>
        <v>2670687.878</v>
      </c>
      <c r="O5" s="314">
        <v>0</v>
      </c>
      <c r="P5" s="314">
        <v>543487</v>
      </c>
      <c r="Q5" s="314">
        <f t="shared" ref="Q5:Q55" si="8">O5+P5</f>
        <v>543487</v>
      </c>
      <c r="R5" s="311">
        <v>0</v>
      </c>
      <c r="S5" s="314">
        <v>0</v>
      </c>
      <c r="T5" s="315"/>
      <c r="U5" s="329">
        <f>I5/(AVERAGE(F4:F5))</f>
        <v>0.22284592306104448</v>
      </c>
      <c r="V5" s="330">
        <f>N5/(AVERAGE(F4:F5))</f>
        <v>0.34813466678128829</v>
      </c>
      <c r="W5" s="330">
        <f>(I5+S5)/(AVERAGE((F4+R4),(F5+R5)))</f>
        <v>0.22284592306104448</v>
      </c>
      <c r="X5" s="330">
        <f>(N5+S5)/(AVERAGE((F4+R4),(F5+R5)))</f>
        <v>0.34813466678128829</v>
      </c>
      <c r="Y5" s="330">
        <v>0.23469999999999999</v>
      </c>
    </row>
    <row r="6" spans="2:25" x14ac:dyDescent="0.3">
      <c r="B6" s="303" t="s">
        <v>23</v>
      </c>
      <c r="C6" s="310">
        <v>2004</v>
      </c>
      <c r="D6" s="311">
        <v>14105696</v>
      </c>
      <c r="E6" s="312">
        <v>0.72099999999999997</v>
      </c>
      <c r="F6" s="313">
        <f t="shared" si="2"/>
        <v>10170206.816</v>
      </c>
      <c r="G6" s="313">
        <v>239014143</v>
      </c>
      <c r="H6" s="311">
        <v>3024006</v>
      </c>
      <c r="I6" s="311">
        <f t="shared" si="4"/>
        <v>2180308.3259999999</v>
      </c>
      <c r="J6" s="311">
        <f t="shared" si="3"/>
        <v>227824</v>
      </c>
      <c r="K6" s="311">
        <v>42585</v>
      </c>
      <c r="L6" s="311">
        <f t="shared" si="5"/>
        <v>-185239</v>
      </c>
      <c r="M6" s="311">
        <f t="shared" si="6"/>
        <v>2838767</v>
      </c>
      <c r="N6" s="311">
        <f t="shared" si="7"/>
        <v>2046751.007</v>
      </c>
      <c r="O6" s="314">
        <v>0</v>
      </c>
      <c r="P6" s="314">
        <v>688027</v>
      </c>
      <c r="Q6" s="314">
        <f t="shared" si="8"/>
        <v>688027</v>
      </c>
      <c r="R6" s="311">
        <v>0</v>
      </c>
      <c r="S6" s="314">
        <v>0</v>
      </c>
      <c r="T6" s="315"/>
      <c r="U6" s="329">
        <f t="shared" ref="U6:U17" si="9">I6/(AVERAGE(F5:F6))</f>
        <v>0.23060384080541937</v>
      </c>
      <c r="V6" s="330">
        <f t="shared" ref="V6:V18" si="10">N6/(AVERAGE(F5:F6))</f>
        <v>0.21647793468388554</v>
      </c>
      <c r="W6" s="330">
        <f t="shared" ref="W6:W18" si="11">(I6+S6)/(AVERAGE((F5+R5),(F6+R6)))</f>
        <v>0.23060384080541937</v>
      </c>
      <c r="X6" s="330">
        <f t="shared" ref="X6:X18" si="12">(N6+S6)/(AVERAGE((F5+R5),(F6+R6)))</f>
        <v>0.21647793468388554</v>
      </c>
      <c r="Y6" s="330">
        <v>0.1638</v>
      </c>
    </row>
    <row r="7" spans="2:25" x14ac:dyDescent="0.3">
      <c r="B7" s="303" t="s">
        <v>23</v>
      </c>
      <c r="C7" s="310">
        <v>2005</v>
      </c>
      <c r="D7" s="311">
        <v>16849764</v>
      </c>
      <c r="E7" s="312">
        <v>0.72099999999999997</v>
      </c>
      <c r="F7" s="313">
        <f t="shared" si="2"/>
        <v>12148679.843999999</v>
      </c>
      <c r="G7" s="313">
        <v>252976988</v>
      </c>
      <c r="H7" s="311">
        <v>4153602</v>
      </c>
      <c r="I7" s="311">
        <f t="shared" si="4"/>
        <v>2994747.0419999999</v>
      </c>
      <c r="J7" s="311">
        <f t="shared" si="3"/>
        <v>42585</v>
      </c>
      <c r="K7" s="311">
        <v>129927</v>
      </c>
      <c r="L7" s="311">
        <f t="shared" si="5"/>
        <v>87342</v>
      </c>
      <c r="M7" s="311">
        <f t="shared" si="6"/>
        <v>4240944</v>
      </c>
      <c r="N7" s="311">
        <f t="shared" si="7"/>
        <v>3057720.6239999998</v>
      </c>
      <c r="O7" s="314">
        <v>93791.268414514401</v>
      </c>
      <c r="P7" s="314">
        <v>986317.73158548563</v>
      </c>
      <c r="Q7" s="314">
        <f t="shared" si="8"/>
        <v>1080109</v>
      </c>
      <c r="R7" s="311">
        <v>0</v>
      </c>
      <c r="S7" s="314">
        <v>0</v>
      </c>
      <c r="T7" s="315"/>
      <c r="U7" s="329">
        <f t="shared" si="9"/>
        <v>0.26835989515258379</v>
      </c>
      <c r="V7" s="330">
        <f t="shared" si="10"/>
        <v>0.27400297071986657</v>
      </c>
      <c r="W7" s="330">
        <f t="shared" si="11"/>
        <v>0.26835989515258379</v>
      </c>
      <c r="X7" s="330">
        <f t="shared" si="12"/>
        <v>0.27400297071986657</v>
      </c>
      <c r="Y7" s="330">
        <v>0.1913</v>
      </c>
    </row>
    <row r="8" spans="2:25" x14ac:dyDescent="0.3">
      <c r="B8" s="303" t="s">
        <v>23</v>
      </c>
      <c r="C8" s="310">
        <v>2006</v>
      </c>
      <c r="D8" s="311">
        <v>20758158</v>
      </c>
      <c r="E8" s="312">
        <v>0.68700000000000006</v>
      </c>
      <c r="F8" s="313">
        <f t="shared" si="2"/>
        <v>14260854.546000002</v>
      </c>
      <c r="G8" s="313">
        <v>296356419</v>
      </c>
      <c r="H8" s="311">
        <v>6043777</v>
      </c>
      <c r="I8" s="311">
        <f t="shared" si="4"/>
        <v>4152074.7990000001</v>
      </c>
      <c r="J8" s="311">
        <f t="shared" si="3"/>
        <v>129927</v>
      </c>
      <c r="K8" s="311">
        <v>382238</v>
      </c>
      <c r="L8" s="311">
        <f t="shared" si="5"/>
        <v>252311</v>
      </c>
      <c r="M8" s="311">
        <f t="shared" si="6"/>
        <v>6296088</v>
      </c>
      <c r="N8" s="311">
        <f t="shared" si="7"/>
        <v>4325412.4560000002</v>
      </c>
      <c r="O8" s="314">
        <v>796519.7111422841</v>
      </c>
      <c r="P8" s="314">
        <v>864309.28885771602</v>
      </c>
      <c r="Q8" s="314">
        <f t="shared" si="8"/>
        <v>1660829</v>
      </c>
      <c r="R8" s="316">
        <v>0</v>
      </c>
      <c r="S8" s="314">
        <v>0</v>
      </c>
      <c r="T8" s="315"/>
      <c r="U8" s="329">
        <f t="shared" si="9"/>
        <v>0.31443756165365699</v>
      </c>
      <c r="V8" s="330">
        <f t="shared" si="10"/>
        <v>0.3275644615406641</v>
      </c>
      <c r="W8" s="330">
        <f t="shared" si="11"/>
        <v>0.31443756165365699</v>
      </c>
      <c r="X8" s="330">
        <f t="shared" si="12"/>
        <v>0.3275644615406641</v>
      </c>
      <c r="Y8" s="330">
        <v>0.14910000000000001</v>
      </c>
    </row>
    <row r="9" spans="2:25" x14ac:dyDescent="0.3">
      <c r="B9" s="303" t="s">
        <v>23</v>
      </c>
      <c r="C9" s="310">
        <v>2007</v>
      </c>
      <c r="D9" s="311">
        <v>24262096</v>
      </c>
      <c r="E9" s="312">
        <v>0.69699999999999995</v>
      </c>
      <c r="F9" s="313">
        <f t="shared" si="2"/>
        <v>16910680.912</v>
      </c>
      <c r="G9" s="313">
        <v>357750243</v>
      </c>
      <c r="H9" s="311">
        <v>5058119</v>
      </c>
      <c r="I9" s="311">
        <f t="shared" si="4"/>
        <v>3525508.943</v>
      </c>
      <c r="J9" s="311">
        <f t="shared" si="3"/>
        <v>382238</v>
      </c>
      <c r="K9" s="311">
        <v>349802</v>
      </c>
      <c r="L9" s="311">
        <f t="shared" si="5"/>
        <v>-32436</v>
      </c>
      <c r="M9" s="311">
        <f t="shared" si="6"/>
        <v>5025683</v>
      </c>
      <c r="N9" s="311">
        <f t="shared" si="7"/>
        <v>3502901.051</v>
      </c>
      <c r="O9" s="314">
        <v>459766.60506799218</v>
      </c>
      <c r="P9" s="314">
        <v>897832.39493200777</v>
      </c>
      <c r="Q9" s="314">
        <f t="shared" si="8"/>
        <v>1357599</v>
      </c>
      <c r="R9" s="311">
        <v>0</v>
      </c>
      <c r="S9" s="314">
        <v>0</v>
      </c>
      <c r="T9" s="315"/>
      <c r="U9" s="329">
        <f t="shared" si="9"/>
        <v>0.22620053142715479</v>
      </c>
      <c r="V9" s="330">
        <f t="shared" si="10"/>
        <v>0.22474998421041845</v>
      </c>
      <c r="W9" s="330">
        <f t="shared" si="11"/>
        <v>0.22620053142715479</v>
      </c>
      <c r="X9" s="330">
        <f t="shared" si="12"/>
        <v>0.22474998421041845</v>
      </c>
      <c r="Y9" s="330">
        <v>0.12039999999999999</v>
      </c>
    </row>
    <row r="10" spans="2:25" x14ac:dyDescent="0.3">
      <c r="B10" s="303" t="s">
        <v>23</v>
      </c>
      <c r="C10" s="310">
        <v>2008</v>
      </c>
      <c r="D10" s="311">
        <v>29937250</v>
      </c>
      <c r="E10" s="312">
        <v>0.65600000000000003</v>
      </c>
      <c r="F10" s="313">
        <f t="shared" si="2"/>
        <v>19638836</v>
      </c>
      <c r="G10" s="313">
        <v>521272817</v>
      </c>
      <c r="H10" s="311">
        <v>8802869</v>
      </c>
      <c r="I10" s="311">
        <f t="shared" si="4"/>
        <v>5774682.0640000002</v>
      </c>
      <c r="J10" s="311">
        <f t="shared" si="3"/>
        <v>349802</v>
      </c>
      <c r="K10" s="311">
        <v>198729</v>
      </c>
      <c r="L10" s="311">
        <f>K10-J10</f>
        <v>-151073</v>
      </c>
      <c r="M10" s="311">
        <f t="shared" si="6"/>
        <v>8651796</v>
      </c>
      <c r="N10" s="311">
        <f t="shared" si="7"/>
        <v>5675578.176</v>
      </c>
      <c r="O10" s="314">
        <v>1291552</v>
      </c>
      <c r="P10" s="314">
        <v>1013531</v>
      </c>
      <c r="Q10" s="314">
        <f t="shared" si="8"/>
        <v>2305083</v>
      </c>
      <c r="R10" s="311">
        <v>0</v>
      </c>
      <c r="S10" s="314">
        <v>0</v>
      </c>
      <c r="T10" s="317"/>
      <c r="U10" s="329">
        <f t="shared" si="9"/>
        <v>0.31599225116455898</v>
      </c>
      <c r="V10" s="330">
        <f t="shared" si="10"/>
        <v>0.31056925811988417</v>
      </c>
      <c r="W10" s="330">
        <f t="shared" si="11"/>
        <v>0.31599225116455898</v>
      </c>
      <c r="X10" s="330">
        <f t="shared" si="12"/>
        <v>0.31056925811988417</v>
      </c>
      <c r="Y10" s="330">
        <v>0.1245</v>
      </c>
    </row>
    <row r="11" spans="2:25" x14ac:dyDescent="0.3">
      <c r="B11" s="303" t="s">
        <v>23</v>
      </c>
      <c r="C11" s="310">
        <v>2009</v>
      </c>
      <c r="D11" s="311">
        <v>36119265</v>
      </c>
      <c r="E11" s="312">
        <v>0.65269999999999995</v>
      </c>
      <c r="F11" s="313">
        <f t="shared" si="2"/>
        <v>23575044.265499998</v>
      </c>
      <c r="G11" s="313">
        <v>708548843</v>
      </c>
      <c r="H11" s="311">
        <v>10147522</v>
      </c>
      <c r="I11" s="311">
        <f t="shared" si="4"/>
        <v>6623287.6093999995</v>
      </c>
      <c r="J11" s="311">
        <f>K10</f>
        <v>198729</v>
      </c>
      <c r="K11" s="311">
        <v>270164</v>
      </c>
      <c r="L11" s="311">
        <f t="shared" si="5"/>
        <v>71435</v>
      </c>
      <c r="M11" s="311">
        <f t="shared" si="6"/>
        <v>10218957</v>
      </c>
      <c r="N11" s="311">
        <f t="shared" si="7"/>
        <v>6669913.2338999994</v>
      </c>
      <c r="O11" s="314">
        <v>1439002</v>
      </c>
      <c r="P11" s="314">
        <v>1215612</v>
      </c>
      <c r="Q11" s="314">
        <f t="shared" si="8"/>
        <v>2654614</v>
      </c>
      <c r="R11" s="311">
        <v>0</v>
      </c>
      <c r="S11" s="314">
        <v>0</v>
      </c>
      <c r="T11" s="315"/>
      <c r="U11" s="329">
        <f t="shared" si="9"/>
        <v>0.30653519511358174</v>
      </c>
      <c r="V11" s="330">
        <f t="shared" si="10"/>
        <v>0.30869309550176899</v>
      </c>
      <c r="W11" s="330">
        <f t="shared" si="11"/>
        <v>0.30653519511358174</v>
      </c>
      <c r="X11" s="330">
        <f t="shared" si="12"/>
        <v>0.30869309550176899</v>
      </c>
      <c r="Y11" s="330">
        <v>0.1013</v>
      </c>
    </row>
    <row r="12" spans="2:25" x14ac:dyDescent="0.3">
      <c r="B12" s="303" t="s">
        <v>23</v>
      </c>
      <c r="C12" s="310">
        <v>2010</v>
      </c>
      <c r="D12" s="311">
        <v>50440683</v>
      </c>
      <c r="E12" s="312">
        <v>0.59299999999999997</v>
      </c>
      <c r="F12" s="313">
        <f t="shared" si="2"/>
        <v>29911325.018999998</v>
      </c>
      <c r="G12" s="313">
        <v>811172208</v>
      </c>
      <c r="H12" s="311">
        <v>11703165</v>
      </c>
      <c r="I12" s="311">
        <f t="shared" si="4"/>
        <v>6939976.8449999997</v>
      </c>
      <c r="J12" s="311">
        <f>K11</f>
        <v>270164</v>
      </c>
      <c r="K12" s="311">
        <f>J12+L12</f>
        <v>467435</v>
      </c>
      <c r="L12" s="311">
        <f>M12-H12</f>
        <v>197271</v>
      </c>
      <c r="M12" s="311">
        <v>11900436</v>
      </c>
      <c r="N12" s="311">
        <f t="shared" si="7"/>
        <v>7056958.5479999995</v>
      </c>
      <c r="O12" s="314">
        <v>1425815</v>
      </c>
      <c r="P12" s="314">
        <v>1487739</v>
      </c>
      <c r="Q12" s="314">
        <f t="shared" si="8"/>
        <v>2913554</v>
      </c>
      <c r="R12" s="311">
        <v>0</v>
      </c>
      <c r="S12" s="314">
        <v>0</v>
      </c>
      <c r="T12" s="315"/>
      <c r="U12" s="329">
        <f t="shared" si="9"/>
        <v>0.25950450321596835</v>
      </c>
      <c r="V12" s="330">
        <f t="shared" si="10"/>
        <v>0.26387876546501954</v>
      </c>
      <c r="W12" s="330">
        <f t="shared" si="11"/>
        <v>0.25950450321596835</v>
      </c>
      <c r="X12" s="330">
        <f t="shared" si="12"/>
        <v>0.26387876546501954</v>
      </c>
      <c r="Y12" s="330">
        <v>9.9000000000000005E-2</v>
      </c>
    </row>
    <row r="13" spans="2:25" x14ac:dyDescent="0.3">
      <c r="B13" s="303" t="s">
        <v>23</v>
      </c>
      <c r="C13" s="310">
        <v>2011</v>
      </c>
      <c r="D13" s="311">
        <v>58416370</v>
      </c>
      <c r="E13" s="312">
        <v>0.59099999999999997</v>
      </c>
      <c r="F13" s="313">
        <f t="shared" si="2"/>
        <v>34524074.670000002</v>
      </c>
      <c r="G13" s="313">
        <v>981229907</v>
      </c>
      <c r="H13" s="311">
        <v>12125990</v>
      </c>
      <c r="I13" s="311">
        <f t="shared" si="4"/>
        <v>7166460.0899999999</v>
      </c>
      <c r="J13" s="311">
        <f t="shared" ref="J13:J18" si="13">K12</f>
        <v>467435</v>
      </c>
      <c r="K13" s="311">
        <f t="shared" ref="K13:K18" si="14">J13+L13</f>
        <v>723842</v>
      </c>
      <c r="L13" s="311">
        <f t="shared" ref="L13:L18" si="15">M13-H13</f>
        <v>256407</v>
      </c>
      <c r="M13" s="311">
        <v>12382397</v>
      </c>
      <c r="N13" s="311">
        <f t="shared" si="7"/>
        <v>7317996.6269999994</v>
      </c>
      <c r="O13" s="314">
        <v>1092856</v>
      </c>
      <c r="P13" s="314">
        <v>1804385</v>
      </c>
      <c r="Q13" s="314">
        <f t="shared" si="8"/>
        <v>2897241</v>
      </c>
      <c r="R13" s="311">
        <v>0</v>
      </c>
      <c r="S13" s="314">
        <v>0</v>
      </c>
      <c r="T13" s="315"/>
      <c r="U13" s="329">
        <f t="shared" si="9"/>
        <v>0.22243860128405202</v>
      </c>
      <c r="V13" s="330">
        <f t="shared" si="10"/>
        <v>0.22714211946602642</v>
      </c>
      <c r="W13" s="330">
        <f t="shared" si="11"/>
        <v>0.22243860128405202</v>
      </c>
      <c r="X13" s="330">
        <f t="shared" si="12"/>
        <v>0.22714211946602642</v>
      </c>
      <c r="Y13" s="330">
        <v>0.1176</v>
      </c>
    </row>
    <row r="14" spans="2:25" x14ac:dyDescent="0.3">
      <c r="B14" s="303" t="s">
        <v>23</v>
      </c>
      <c r="C14" s="310">
        <v>2012</v>
      </c>
      <c r="D14" s="311">
        <v>66069965</v>
      </c>
      <c r="E14" s="312">
        <v>0.59099999999999997</v>
      </c>
      <c r="F14" s="313">
        <f t="shared" si="2"/>
        <v>39047349.314999998</v>
      </c>
      <c r="G14" s="313">
        <v>981229907</v>
      </c>
      <c r="H14" s="311">
        <v>12205120</v>
      </c>
      <c r="I14" s="311">
        <f t="shared" si="4"/>
        <v>7213225.9199999999</v>
      </c>
      <c r="J14" s="311">
        <f t="shared" si="13"/>
        <v>723842</v>
      </c>
      <c r="K14" s="311">
        <f t="shared" si="14"/>
        <v>1420354</v>
      </c>
      <c r="L14" s="311">
        <f t="shared" si="15"/>
        <v>696512</v>
      </c>
      <c r="M14" s="311">
        <v>12901632</v>
      </c>
      <c r="N14" s="311">
        <f t="shared" si="7"/>
        <v>7624864.5119999992</v>
      </c>
      <c r="O14" s="314">
        <v>927779</v>
      </c>
      <c r="P14" s="314">
        <v>1981700</v>
      </c>
      <c r="Q14" s="314">
        <f t="shared" si="8"/>
        <v>2909479</v>
      </c>
      <c r="R14" s="311">
        <f>'Remuneração da Dívida'!I15</f>
        <v>8214555</v>
      </c>
      <c r="S14" s="314">
        <f>'Remuneração da Dívida'!K15</f>
        <v>145857.75527805401</v>
      </c>
      <c r="T14" s="315"/>
      <c r="U14" s="329">
        <f t="shared" si="9"/>
        <v>0.19608770713669094</v>
      </c>
      <c r="V14" s="330">
        <f t="shared" si="10"/>
        <v>0.20727788315078918</v>
      </c>
      <c r="W14" s="330">
        <f t="shared" si="11"/>
        <v>0.17995954237162706</v>
      </c>
      <c r="X14" s="330">
        <f t="shared" si="12"/>
        <v>0.19002578103768242</v>
      </c>
      <c r="Y14" s="330">
        <v>8.6199999999999999E-2</v>
      </c>
    </row>
    <row r="15" spans="2:25" x14ac:dyDescent="0.3">
      <c r="B15" s="303" t="s">
        <v>23</v>
      </c>
      <c r="C15" s="310">
        <v>2013</v>
      </c>
      <c r="D15" s="311">
        <v>72224786</v>
      </c>
      <c r="E15" s="312">
        <v>0.58299999999999996</v>
      </c>
      <c r="F15" s="313">
        <f t="shared" si="2"/>
        <v>42107050.237999998</v>
      </c>
      <c r="G15" s="313">
        <v>1303916123</v>
      </c>
      <c r="H15" s="311">
        <v>15757937</v>
      </c>
      <c r="I15" s="311">
        <f t="shared" si="4"/>
        <v>9186877.2709999997</v>
      </c>
      <c r="J15" s="311">
        <f t="shared" si="13"/>
        <v>1420354</v>
      </c>
      <c r="K15" s="311">
        <f t="shared" si="14"/>
        <v>1438499</v>
      </c>
      <c r="L15" s="311">
        <f t="shared" si="15"/>
        <v>18145</v>
      </c>
      <c r="M15" s="311">
        <v>15776082</v>
      </c>
      <c r="N15" s="311">
        <f t="shared" si="7"/>
        <v>9197455.8059999999</v>
      </c>
      <c r="O15" s="314">
        <v>1755109</v>
      </c>
      <c r="P15" s="314">
        <v>1932180</v>
      </c>
      <c r="Q15" s="314">
        <f t="shared" si="8"/>
        <v>3687289</v>
      </c>
      <c r="R15" s="311">
        <f>'Remuneração da Dívida'!I16</f>
        <v>8324729</v>
      </c>
      <c r="S15" s="314">
        <f>'Remuneração da Dívida'!K16</f>
        <v>451800.52500000002</v>
      </c>
      <c r="T15" s="315"/>
      <c r="U15" s="329">
        <f t="shared" si="9"/>
        <v>0.22640491018605269</v>
      </c>
      <c r="V15" s="330">
        <f t="shared" si="10"/>
        <v>0.22666561164052138</v>
      </c>
      <c r="W15" s="330">
        <f t="shared" si="11"/>
        <v>0.19732448292362528</v>
      </c>
      <c r="X15" s="330">
        <f t="shared" si="12"/>
        <v>0.19754104830667302</v>
      </c>
      <c r="Y15" s="330">
        <v>8.2899999999999988E-2</v>
      </c>
    </row>
    <row r="16" spans="2:25" x14ac:dyDescent="0.3">
      <c r="B16" s="303" t="s">
        <v>23</v>
      </c>
      <c r="C16" s="310">
        <v>2014</v>
      </c>
      <c r="D16" s="311">
        <f>90613194-8100000</f>
        <v>82513194</v>
      </c>
      <c r="E16" s="312">
        <v>0.57899999999999996</v>
      </c>
      <c r="F16" s="313">
        <f t="shared" si="2"/>
        <v>47775139.325999998</v>
      </c>
      <c r="G16" s="313">
        <v>1437485512</v>
      </c>
      <c r="H16" s="311">
        <v>11245814</v>
      </c>
      <c r="I16" s="311">
        <f t="shared" si="4"/>
        <v>6511326.3059999999</v>
      </c>
      <c r="J16" s="311">
        <f t="shared" si="13"/>
        <v>1438499</v>
      </c>
      <c r="K16" s="311">
        <f t="shared" si="14"/>
        <v>-5027292</v>
      </c>
      <c r="L16" s="311">
        <f t="shared" si="15"/>
        <v>-6465791</v>
      </c>
      <c r="M16" s="311">
        <v>4780023</v>
      </c>
      <c r="N16" s="311">
        <f t="shared" si="7"/>
        <v>2767633.3169999998</v>
      </c>
      <c r="O16" s="314">
        <v>494144</v>
      </c>
      <c r="P16" s="314">
        <v>2132696</v>
      </c>
      <c r="Q16" s="314">
        <f t="shared" si="8"/>
        <v>2626840</v>
      </c>
      <c r="R16" s="311">
        <f>'Remuneração da Dívida'!I17</f>
        <v>149587</v>
      </c>
      <c r="S16" s="314">
        <f>'Remuneração da Dívida'!K17</f>
        <v>457860.09500000003</v>
      </c>
      <c r="T16" s="315"/>
      <c r="U16" s="329">
        <f t="shared" si="9"/>
        <v>0.14488579634263704</v>
      </c>
      <c r="V16" s="330">
        <f t="shared" si="10"/>
        <v>6.1583575799059181E-2</v>
      </c>
      <c r="W16" s="330">
        <f t="shared" si="11"/>
        <v>0.14171276950186465</v>
      </c>
      <c r="X16" s="330">
        <f t="shared" si="12"/>
        <v>6.5587800085093309E-2</v>
      </c>
      <c r="Y16" s="330">
        <v>0.1096</v>
      </c>
    </row>
    <row r="17" spans="2:25" x14ac:dyDescent="0.3">
      <c r="B17" s="303" t="s">
        <v>23</v>
      </c>
      <c r="C17" s="310">
        <v>2015</v>
      </c>
      <c r="D17" s="311">
        <v>81536173</v>
      </c>
      <c r="E17" s="312">
        <v>0.57699999999999996</v>
      </c>
      <c r="F17" s="313">
        <f t="shared" si="2"/>
        <v>47046371.820999995</v>
      </c>
      <c r="G17" s="313">
        <v>1290541203</v>
      </c>
      <c r="H17" s="311">
        <v>14399559</v>
      </c>
      <c r="I17" s="311">
        <f t="shared" si="4"/>
        <v>8308545.5429999996</v>
      </c>
      <c r="J17" s="311">
        <f t="shared" si="13"/>
        <v>-5027292</v>
      </c>
      <c r="K17" s="311">
        <f t="shared" si="14"/>
        <v>-18328839</v>
      </c>
      <c r="L17" s="311">
        <f t="shared" si="15"/>
        <v>-13301547</v>
      </c>
      <c r="M17" s="311">
        <v>1098012</v>
      </c>
      <c r="N17" s="311">
        <f t="shared" si="7"/>
        <v>633552.924</v>
      </c>
      <c r="O17" s="314">
        <v>752961</v>
      </c>
      <c r="P17" s="314">
        <v>2569299</v>
      </c>
      <c r="Q17" s="314">
        <f t="shared" si="8"/>
        <v>3322260</v>
      </c>
      <c r="R17" s="311">
        <f>'Remuneração da Dívida'!I18</f>
        <v>8355877</v>
      </c>
      <c r="S17" s="314">
        <f>'Remuneração da Dívida'!K18</f>
        <v>453727.28499999997</v>
      </c>
      <c r="T17" s="315"/>
      <c r="U17" s="329">
        <f t="shared" si="9"/>
        <v>0.17524600573216809</v>
      </c>
      <c r="V17" s="330">
        <f t="shared" si="10"/>
        <v>1.3363063219227016E-2</v>
      </c>
      <c r="W17" s="330">
        <f t="shared" si="11"/>
        <v>0.16960281311892067</v>
      </c>
      <c r="X17" s="330">
        <f t="shared" si="12"/>
        <v>2.1045428020188557E-2</v>
      </c>
      <c r="Y17" s="330">
        <v>0.13470000000000001</v>
      </c>
    </row>
    <row r="18" spans="2:25" x14ac:dyDescent="0.3">
      <c r="B18" s="303" t="s">
        <v>23</v>
      </c>
      <c r="C18" s="310">
        <v>2016</v>
      </c>
      <c r="D18" s="311">
        <v>87193752</v>
      </c>
      <c r="E18" s="312">
        <v>0.54400000000000004</v>
      </c>
      <c r="F18" s="313">
        <f t="shared" si="2"/>
        <v>47433401.088000007</v>
      </c>
      <c r="G18" s="313">
        <v>1401376974</v>
      </c>
      <c r="H18" s="311">
        <v>8033556</v>
      </c>
      <c r="I18" s="311">
        <f t="shared" si="4"/>
        <v>4370254.4640000006</v>
      </c>
      <c r="J18" s="311">
        <f t="shared" si="13"/>
        <v>-18328839</v>
      </c>
      <c r="K18" s="311">
        <f t="shared" si="14"/>
        <v>-18215373</v>
      </c>
      <c r="L18" s="311">
        <f t="shared" si="15"/>
        <v>113466</v>
      </c>
      <c r="M18" s="311">
        <v>8147022</v>
      </c>
      <c r="N18" s="311">
        <f t="shared" si="7"/>
        <v>4431979.9680000003</v>
      </c>
      <c r="O18" s="314">
        <v>0</v>
      </c>
      <c r="P18" s="314">
        <v>1280680</v>
      </c>
      <c r="Q18" s="314">
        <f t="shared" si="8"/>
        <v>1280680</v>
      </c>
      <c r="R18" s="311">
        <f>'Remuneração da Dívida'!I19</f>
        <v>8175552</v>
      </c>
      <c r="S18" s="314">
        <f>'Remuneração da Dívida'!K19</f>
        <v>459573.23499999999</v>
      </c>
      <c r="T18" s="315"/>
      <c r="U18" s="329">
        <f>I18/(AVERAGE(F17:F18))</f>
        <v>9.2511959532529664E-2</v>
      </c>
      <c r="V18" s="330">
        <f t="shared" si="10"/>
        <v>9.381859908297506E-2</v>
      </c>
      <c r="W18" s="330">
        <f t="shared" si="11"/>
        <v>8.7015141101871668E-2</v>
      </c>
      <c r="X18" s="330">
        <f t="shared" si="12"/>
        <v>8.8127200118232898E-2</v>
      </c>
      <c r="Y18" s="330">
        <v>0.14180000000000001</v>
      </c>
    </row>
    <row r="19" spans="2:25" x14ac:dyDescent="0.3">
      <c r="B19" s="303" t="s">
        <v>23</v>
      </c>
      <c r="C19" s="310">
        <v>2017</v>
      </c>
      <c r="D19" s="311">
        <v>98723402</v>
      </c>
      <c r="E19" s="312">
        <v>0.52400000000000002</v>
      </c>
      <c r="F19" s="313">
        <f>D19*E19</f>
        <v>51731062.648000002</v>
      </c>
      <c r="G19" s="313">
        <v>1369201171</v>
      </c>
      <c r="H19" s="311">
        <v>11010776</v>
      </c>
      <c r="I19" s="311">
        <f>H19*E19</f>
        <v>5769646.6239999998</v>
      </c>
      <c r="J19" s="311">
        <f>K18</f>
        <v>-18215373</v>
      </c>
      <c r="K19" s="311">
        <f>J19+L19</f>
        <v>-14505893</v>
      </c>
      <c r="L19" s="311">
        <f>M19-H19</f>
        <v>3709480</v>
      </c>
      <c r="M19" s="311">
        <v>14720256</v>
      </c>
      <c r="N19" s="311">
        <f>M19*E19</f>
        <v>7713414.1440000003</v>
      </c>
      <c r="O19" s="314">
        <v>0</v>
      </c>
      <c r="P19" s="314">
        <v>1715555</v>
      </c>
      <c r="Q19" s="314">
        <f>O19+P19</f>
        <v>1715555</v>
      </c>
      <c r="R19" s="311">
        <f>'Remuneração da Dívida'!I20</f>
        <v>8197342</v>
      </c>
      <c r="S19" s="314">
        <f>'Remuneração da Dívida'!K20</f>
        <v>449655.36</v>
      </c>
      <c r="T19" s="315"/>
      <c r="U19" s="329">
        <f>I19/(AVERAGE(F18:F19))</f>
        <v>0.11636520597459604</v>
      </c>
      <c r="V19" s="330">
        <f>N19/(AVERAGE(F18:F19))</f>
        <v>0.1555681108614673</v>
      </c>
      <c r="W19" s="330">
        <f>(I19+S19)/(AVERAGE((F18+R18),(F19+R19)))</f>
        <v>0.10765871932454871</v>
      </c>
      <c r="X19" s="330">
        <f>(N19+S19)/(AVERAGE((F18+R18),(F19+R19)))</f>
        <v>0.14130614831355953</v>
      </c>
      <c r="Y19" s="330">
        <v>0.1011</v>
      </c>
    </row>
    <row r="20" spans="2:25" x14ac:dyDescent="0.3">
      <c r="B20" s="303" t="s">
        <v>23</v>
      </c>
      <c r="C20" s="310">
        <v>2018</v>
      </c>
      <c r="D20" s="311">
        <v>102252882</v>
      </c>
      <c r="E20" s="312">
        <v>0.50700000000000001</v>
      </c>
      <c r="F20" s="313">
        <f>D20*E20</f>
        <v>51842211.174000002</v>
      </c>
      <c r="G20" s="313">
        <v>1417143716</v>
      </c>
      <c r="H20" s="311">
        <v>12862026</v>
      </c>
      <c r="I20" s="311">
        <f>H20*E20</f>
        <v>6521047.182</v>
      </c>
      <c r="J20" s="311">
        <f>K19</f>
        <v>-14505893</v>
      </c>
      <c r="K20" s="311">
        <f>J20+L20</f>
        <v>-17440285</v>
      </c>
      <c r="L20" s="311">
        <f>M20-H20</f>
        <v>-2934392</v>
      </c>
      <c r="M20" s="311">
        <v>9927634</v>
      </c>
      <c r="N20" s="311">
        <f>M20*E20</f>
        <v>5033310.4380000001</v>
      </c>
      <c r="O20" s="314"/>
      <c r="P20" s="314">
        <f>2618355*E20</f>
        <v>1327505.9850000001</v>
      </c>
      <c r="Q20" s="314">
        <f>O20+P20</f>
        <v>1327505.9850000001</v>
      </c>
      <c r="R20" s="311">
        <f>'Remuneração da Dívida'!I21</f>
        <v>8307033</v>
      </c>
      <c r="S20" s="314">
        <f>'Remuneração da Dívida'!K21</f>
        <v>450853.81</v>
      </c>
      <c r="T20" s="315"/>
      <c r="U20" s="329">
        <f>I20/(AVERAGE(F19:F20))</f>
        <v>0.12592142627850128</v>
      </c>
      <c r="V20" s="330">
        <f>N20/(AVERAGE(F19:F20))</f>
        <v>9.7193228566863646E-2</v>
      </c>
      <c r="W20" s="330">
        <f>(I20+S20)/(AVERAGE((F19+R19),(F20+R20)))</f>
        <v>0.11612320961305572</v>
      </c>
      <c r="X20" s="330">
        <f>(N20+S20)/(AVERAGE((F19+R19),(F20+R20)))</f>
        <v>9.1343631421857419E-2</v>
      </c>
      <c r="Y20" s="330">
        <v>6.4000000000000001E-2</v>
      </c>
    </row>
    <row r="21" spans="2:25" hidden="1" x14ac:dyDescent="0.3">
      <c r="B21" s="304" t="s">
        <v>26</v>
      </c>
      <c r="C21" s="318">
        <v>2001</v>
      </c>
      <c r="D21" s="319">
        <v>3891469</v>
      </c>
      <c r="E21" s="320">
        <v>1</v>
      </c>
      <c r="F21" s="320"/>
      <c r="G21" s="321">
        <v>101330651</v>
      </c>
      <c r="H21" s="319">
        <v>-4687332</v>
      </c>
      <c r="I21" s="311">
        <f t="shared" si="4"/>
        <v>-4687332</v>
      </c>
      <c r="J21" s="319"/>
      <c r="K21" s="319"/>
      <c r="L21" s="322">
        <f t="shared" ref="L21" si="16">J21-K21</f>
        <v>0</v>
      </c>
      <c r="M21" s="322">
        <f t="shared" ref="M21" si="17">H21+L21</f>
        <v>-4687332</v>
      </c>
      <c r="N21" s="311">
        <f t="shared" si="7"/>
        <v>-4687332</v>
      </c>
      <c r="O21" s="322">
        <v>0</v>
      </c>
      <c r="P21" s="322">
        <v>0</v>
      </c>
      <c r="Q21" s="322"/>
      <c r="R21" s="319">
        <v>3340319</v>
      </c>
      <c r="S21" s="322"/>
      <c r="T21" s="315" t="s">
        <v>27</v>
      </c>
      <c r="U21" s="326"/>
      <c r="V21" s="326"/>
      <c r="W21" s="326"/>
      <c r="X21" s="326"/>
    </row>
    <row r="22" spans="2:25" x14ac:dyDescent="0.3">
      <c r="B22" s="305" t="s">
        <v>26</v>
      </c>
      <c r="C22" s="310">
        <v>2002</v>
      </c>
      <c r="D22" s="311">
        <v>4628121</v>
      </c>
      <c r="E22" s="312">
        <v>1</v>
      </c>
      <c r="F22" s="313">
        <f t="shared" ref="F22:F36" si="18">D22*E22</f>
        <v>4628121</v>
      </c>
      <c r="G22" s="313">
        <v>128417934</v>
      </c>
      <c r="H22" s="311">
        <v>1081093</v>
      </c>
      <c r="I22" s="311">
        <f>H22*E22</f>
        <v>1081093</v>
      </c>
      <c r="J22" s="311">
        <f>K21</f>
        <v>0</v>
      </c>
      <c r="K22" s="311">
        <v>-256730</v>
      </c>
      <c r="L22" s="314">
        <f>K22-J22</f>
        <v>-256730</v>
      </c>
      <c r="M22" s="314">
        <f>H22+L22</f>
        <v>824363</v>
      </c>
      <c r="N22" s="311">
        <f>M22*E22</f>
        <v>824363</v>
      </c>
      <c r="O22" s="314">
        <v>221699</v>
      </c>
      <c r="P22" s="314">
        <v>0</v>
      </c>
      <c r="Q22" s="314">
        <f t="shared" si="8"/>
        <v>221699</v>
      </c>
      <c r="R22" s="311">
        <f>'Remuneração da Dívida'!I30</f>
        <v>0</v>
      </c>
      <c r="S22" s="314">
        <f>'Remuneração da Dívida'!K30</f>
        <v>0</v>
      </c>
      <c r="T22" s="315"/>
      <c r="U22" s="329">
        <f>I22/F22</f>
        <v>0.23359220729103669</v>
      </c>
      <c r="V22" s="330">
        <f>N22/F22</f>
        <v>0.17812045104265856</v>
      </c>
      <c r="W22" s="330">
        <f>(I22+S22)/(F22+R22)</f>
        <v>0.23359220729103669</v>
      </c>
      <c r="X22" s="330">
        <f>(N22+S22)/(F22+R22)</f>
        <v>0.17812045104265856</v>
      </c>
      <c r="Y22" s="330">
        <v>0.19210000000000002</v>
      </c>
    </row>
    <row r="23" spans="2:25" x14ac:dyDescent="0.3">
      <c r="B23" s="305" t="s">
        <v>26</v>
      </c>
      <c r="C23" s="310">
        <v>2003</v>
      </c>
      <c r="D23" s="311">
        <v>5771552</v>
      </c>
      <c r="E23" s="312">
        <v>1</v>
      </c>
      <c r="F23" s="313">
        <f t="shared" si="18"/>
        <v>5771552</v>
      </c>
      <c r="G23" s="313">
        <v>150495476</v>
      </c>
      <c r="H23" s="311">
        <v>1616145</v>
      </c>
      <c r="I23" s="311">
        <f t="shared" si="4"/>
        <v>1616145</v>
      </c>
      <c r="J23" s="311">
        <f t="shared" ref="J23:J36" si="19">K22</f>
        <v>-256730</v>
      </c>
      <c r="K23" s="311">
        <v>134542</v>
      </c>
      <c r="L23" s="314">
        <f t="shared" ref="L23:L36" si="20">K23-J23</f>
        <v>391272</v>
      </c>
      <c r="M23" s="314">
        <f t="shared" ref="M23:M36" si="21">H23+L23</f>
        <v>2007417</v>
      </c>
      <c r="N23" s="311">
        <f t="shared" si="7"/>
        <v>2007417</v>
      </c>
      <c r="O23" s="314">
        <v>310991</v>
      </c>
      <c r="P23" s="314">
        <v>498924</v>
      </c>
      <c r="Q23" s="314">
        <f t="shared" si="8"/>
        <v>809915</v>
      </c>
      <c r="R23" s="311">
        <f>'Remuneração da Dívida'!I31</f>
        <v>0</v>
      </c>
      <c r="S23" s="314">
        <f>'Remuneração da Dívida'!K31</f>
        <v>0</v>
      </c>
      <c r="T23" s="315"/>
      <c r="U23" s="329">
        <f>I23/(AVERAGE(F22:F23))</f>
        <v>0.31080688787041671</v>
      </c>
      <c r="V23" s="330">
        <f>N23/(AVERAGE(F22:F23))</f>
        <v>0.38605386919377177</v>
      </c>
      <c r="W23" s="330">
        <f>(I23+S23)/(AVERAGE((F22+R22),(F23+R23)))</f>
        <v>0.31080688787041671</v>
      </c>
      <c r="X23" s="330">
        <f>(N23+S23)/(AVERAGE((F22+R22),(F23+R23)))</f>
        <v>0.38605386919377177</v>
      </c>
      <c r="Y23" s="330">
        <v>0.23469999999999999</v>
      </c>
    </row>
    <row r="24" spans="2:25" x14ac:dyDescent="0.3">
      <c r="B24" s="305" t="s">
        <v>26</v>
      </c>
      <c r="C24" s="310">
        <v>2004</v>
      </c>
      <c r="D24" s="311">
        <v>6663640</v>
      </c>
      <c r="E24" s="312">
        <v>1</v>
      </c>
      <c r="F24" s="313">
        <f t="shared" si="18"/>
        <v>6663640</v>
      </c>
      <c r="G24" s="313">
        <v>147786559</v>
      </c>
      <c r="H24" s="311">
        <v>1419802</v>
      </c>
      <c r="I24" s="311">
        <f t="shared" si="4"/>
        <v>1419802</v>
      </c>
      <c r="J24" s="311">
        <f t="shared" si="19"/>
        <v>134542</v>
      </c>
      <c r="K24" s="311">
        <v>130548</v>
      </c>
      <c r="L24" s="314">
        <f t="shared" si="20"/>
        <v>-3994</v>
      </c>
      <c r="M24" s="314">
        <f t="shared" si="21"/>
        <v>1415808</v>
      </c>
      <c r="N24" s="311">
        <f t="shared" si="7"/>
        <v>1415808</v>
      </c>
      <c r="O24" s="314">
        <v>11912</v>
      </c>
      <c r="P24" s="314">
        <v>512904</v>
      </c>
      <c r="Q24" s="314">
        <f t="shared" si="8"/>
        <v>524816</v>
      </c>
      <c r="R24" s="311">
        <f>'Remuneração da Dívida'!I32</f>
        <v>0</v>
      </c>
      <c r="S24" s="314">
        <f>'Remuneração da Dívida'!K32</f>
        <v>0</v>
      </c>
      <c r="T24" s="315"/>
      <c r="U24" s="329">
        <f t="shared" ref="U24:U36" si="22">I24/(AVERAGE(F23:F24))</f>
        <v>0.22835224417926156</v>
      </c>
      <c r="V24" s="330">
        <f t="shared" ref="V24:V36" si="23">N24/(AVERAGE(F23:F24))</f>
        <v>0.22770987371968202</v>
      </c>
      <c r="W24" s="330">
        <f t="shared" ref="W24:W36" si="24">(I24+S24)/(AVERAGE((F23+R23),(F24+R24)))</f>
        <v>0.22835224417926156</v>
      </c>
      <c r="X24" s="330">
        <f t="shared" ref="X24:X36" si="25">(N24+S24)/(AVERAGE((F23+R23),(F24+R24)))</f>
        <v>0.22770987371968202</v>
      </c>
      <c r="Y24" s="330">
        <v>0.1638</v>
      </c>
    </row>
    <row r="25" spans="2:25" x14ac:dyDescent="0.3">
      <c r="B25" s="305" t="s">
        <v>26</v>
      </c>
      <c r="C25" s="310">
        <v>2005</v>
      </c>
      <c r="D25" s="311">
        <v>7951942</v>
      </c>
      <c r="E25" s="312">
        <v>1</v>
      </c>
      <c r="F25" s="313">
        <f t="shared" si="18"/>
        <v>7951942</v>
      </c>
      <c r="G25" s="313">
        <v>188677661</v>
      </c>
      <c r="H25" s="311">
        <v>2073016</v>
      </c>
      <c r="I25" s="311">
        <f t="shared" si="4"/>
        <v>2073016</v>
      </c>
      <c r="J25" s="311">
        <f t="shared" si="19"/>
        <v>130548</v>
      </c>
      <c r="K25" s="311">
        <v>76469</v>
      </c>
      <c r="L25" s="314">
        <f t="shared" si="20"/>
        <v>-54079</v>
      </c>
      <c r="M25" s="314">
        <f t="shared" si="21"/>
        <v>2018937</v>
      </c>
      <c r="N25" s="311">
        <f t="shared" si="7"/>
        <v>2018937</v>
      </c>
      <c r="O25" s="314">
        <v>138310</v>
      </c>
      <c r="P25" s="314">
        <v>598684</v>
      </c>
      <c r="Q25" s="314">
        <f t="shared" si="8"/>
        <v>736994</v>
      </c>
      <c r="R25" s="311">
        <f>'Remuneração da Dívida'!I33</f>
        <v>0</v>
      </c>
      <c r="S25" s="314">
        <f>'Remuneração da Dívida'!K33</f>
        <v>0</v>
      </c>
      <c r="T25" s="315"/>
      <c r="U25" s="329">
        <f t="shared" si="22"/>
        <v>0.28367204261862444</v>
      </c>
      <c r="V25" s="330">
        <f t="shared" si="23"/>
        <v>0.27627185834953411</v>
      </c>
      <c r="W25" s="330">
        <f t="shared" si="24"/>
        <v>0.28367204261862444</v>
      </c>
      <c r="X25" s="330">
        <f t="shared" si="25"/>
        <v>0.27627185834953411</v>
      </c>
      <c r="Y25" s="330">
        <v>0.1913</v>
      </c>
    </row>
    <row r="26" spans="2:25" x14ac:dyDescent="0.3">
      <c r="B26" s="305" t="s">
        <v>26</v>
      </c>
      <c r="C26" s="310">
        <v>2006</v>
      </c>
      <c r="D26" s="311">
        <v>9182470</v>
      </c>
      <c r="E26" s="312">
        <v>1</v>
      </c>
      <c r="F26" s="313">
        <f t="shared" si="18"/>
        <v>9182470</v>
      </c>
      <c r="G26" s="313">
        <v>209532836</v>
      </c>
      <c r="H26" s="311">
        <v>2386190</v>
      </c>
      <c r="I26" s="311">
        <f t="shared" si="4"/>
        <v>2386190</v>
      </c>
      <c r="J26" s="311">
        <f t="shared" si="19"/>
        <v>76469</v>
      </c>
      <c r="K26" s="311">
        <v>107182</v>
      </c>
      <c r="L26" s="314">
        <f t="shared" si="20"/>
        <v>30713</v>
      </c>
      <c r="M26" s="314">
        <f t="shared" si="21"/>
        <v>2416903</v>
      </c>
      <c r="N26" s="311">
        <f t="shared" si="7"/>
        <v>2416903</v>
      </c>
      <c r="O26" s="314">
        <v>556124</v>
      </c>
      <c r="P26" s="314">
        <v>589901</v>
      </c>
      <c r="Q26" s="314">
        <f t="shared" si="8"/>
        <v>1146025</v>
      </c>
      <c r="R26" s="311">
        <f>'Remuneração da Dívida'!I34</f>
        <v>0</v>
      </c>
      <c r="S26" s="314">
        <f>'Remuneração da Dívida'!K34</f>
        <v>0</v>
      </c>
      <c r="T26" s="315"/>
      <c r="U26" s="329">
        <f t="shared" si="22"/>
        <v>0.27852604454707869</v>
      </c>
      <c r="V26" s="330">
        <f t="shared" si="23"/>
        <v>0.28211099394598427</v>
      </c>
      <c r="W26" s="330">
        <f t="shared" si="24"/>
        <v>0.27852604454707869</v>
      </c>
      <c r="X26" s="330">
        <f t="shared" si="25"/>
        <v>0.28211099394598427</v>
      </c>
      <c r="Y26" s="330">
        <v>0.14910000000000001</v>
      </c>
    </row>
    <row r="27" spans="2:25" x14ac:dyDescent="0.3">
      <c r="B27" s="305" t="s">
        <v>26</v>
      </c>
      <c r="C27" s="310">
        <v>2007</v>
      </c>
      <c r="D27" s="311">
        <v>10585909</v>
      </c>
      <c r="E27" s="312">
        <v>1</v>
      </c>
      <c r="F27" s="313">
        <f t="shared" si="18"/>
        <v>10585909</v>
      </c>
      <c r="G27" s="313">
        <v>253575011</v>
      </c>
      <c r="H27" s="311">
        <v>2510098</v>
      </c>
      <c r="I27" s="311">
        <f t="shared" si="4"/>
        <v>2510098</v>
      </c>
      <c r="J27" s="311">
        <f t="shared" si="19"/>
        <v>107182</v>
      </c>
      <c r="K27" s="311">
        <v>88970</v>
      </c>
      <c r="L27" s="314">
        <f t="shared" si="20"/>
        <v>-18212</v>
      </c>
      <c r="M27" s="314">
        <f t="shared" si="21"/>
        <v>2491886</v>
      </c>
      <c r="N27" s="311">
        <f t="shared" si="7"/>
        <v>2491886</v>
      </c>
      <c r="O27" s="314">
        <v>572269</v>
      </c>
      <c r="P27" s="314">
        <v>539268</v>
      </c>
      <c r="Q27" s="314">
        <f t="shared" si="8"/>
        <v>1111537</v>
      </c>
      <c r="R27" s="311">
        <f>'Remuneração da Dívida'!I35</f>
        <v>5343873</v>
      </c>
      <c r="S27" s="314">
        <f>'Remuneração da Dívida'!K35</f>
        <v>331499.99999999994</v>
      </c>
      <c r="T27" s="315" t="s">
        <v>28</v>
      </c>
      <c r="U27" s="329">
        <f t="shared" si="22"/>
        <v>0.25395081711049755</v>
      </c>
      <c r="V27" s="330">
        <f t="shared" si="23"/>
        <v>0.2521082785796448</v>
      </c>
      <c r="W27" s="330">
        <f t="shared" si="24"/>
        <v>0.22631168244090574</v>
      </c>
      <c r="X27" s="330">
        <f t="shared" si="25"/>
        <v>0.22486123506565639</v>
      </c>
      <c r="Y27" s="330">
        <v>0.12039999999999999</v>
      </c>
    </row>
    <row r="28" spans="2:25" x14ac:dyDescent="0.3">
      <c r="B28" s="305" t="s">
        <v>26</v>
      </c>
      <c r="C28" s="310">
        <v>2008</v>
      </c>
      <c r="D28" s="311">
        <v>12704670</v>
      </c>
      <c r="E28" s="312">
        <v>1</v>
      </c>
      <c r="F28" s="313">
        <f t="shared" si="18"/>
        <v>12704670</v>
      </c>
      <c r="G28" s="313">
        <v>295920330</v>
      </c>
      <c r="H28" s="311">
        <v>3883289</v>
      </c>
      <c r="I28" s="311">
        <f t="shared" si="4"/>
        <v>3883289</v>
      </c>
      <c r="J28" s="311">
        <f t="shared" si="19"/>
        <v>88970</v>
      </c>
      <c r="K28" s="311">
        <v>-13004</v>
      </c>
      <c r="L28" s="314">
        <f t="shared" si="20"/>
        <v>-101974</v>
      </c>
      <c r="M28" s="314">
        <f t="shared" si="21"/>
        <v>3781315</v>
      </c>
      <c r="N28" s="311">
        <f t="shared" si="7"/>
        <v>3781315</v>
      </c>
      <c r="O28" s="314">
        <v>956430</v>
      </c>
      <c r="P28" s="314">
        <v>617058</v>
      </c>
      <c r="Q28" s="314">
        <f t="shared" si="8"/>
        <v>1573488</v>
      </c>
      <c r="R28" s="311">
        <f>'Remuneração da Dívida'!I36</f>
        <v>5688012</v>
      </c>
      <c r="S28" s="314">
        <f>'Remuneração da Dívida'!K36</f>
        <v>333970.68700799992</v>
      </c>
      <c r="T28" s="315"/>
      <c r="U28" s="329">
        <f t="shared" si="22"/>
        <v>0.33346435912992972</v>
      </c>
      <c r="V28" s="330">
        <f t="shared" si="23"/>
        <v>0.32470768545513617</v>
      </c>
      <c r="W28" s="330">
        <f t="shared" si="24"/>
        <v>0.24574341090476487</v>
      </c>
      <c r="X28" s="330">
        <f t="shared" si="25"/>
        <v>0.23980129672554978</v>
      </c>
      <c r="Y28" s="330">
        <v>0.1245</v>
      </c>
    </row>
    <row r="29" spans="2:25" x14ac:dyDescent="0.3">
      <c r="B29" s="305" t="s">
        <v>26</v>
      </c>
      <c r="C29" s="310">
        <v>2009</v>
      </c>
      <c r="D29" s="311">
        <v>13143767</v>
      </c>
      <c r="E29" s="312">
        <v>1</v>
      </c>
      <c r="F29" s="313">
        <f t="shared" si="18"/>
        <v>13143767</v>
      </c>
      <c r="G29" s="313">
        <v>341311618</v>
      </c>
      <c r="H29" s="311">
        <v>3000298</v>
      </c>
      <c r="I29" s="311">
        <f t="shared" si="4"/>
        <v>3000298</v>
      </c>
      <c r="J29" s="311">
        <f t="shared" si="19"/>
        <v>-13004</v>
      </c>
      <c r="K29" s="311">
        <v>39171</v>
      </c>
      <c r="L29" s="314">
        <f t="shared" si="20"/>
        <v>52175</v>
      </c>
      <c r="M29" s="314">
        <f t="shared" si="21"/>
        <v>3052473</v>
      </c>
      <c r="N29" s="311">
        <f t="shared" si="7"/>
        <v>3052473</v>
      </c>
      <c r="O29" s="314">
        <v>34666</v>
      </c>
      <c r="P29" s="314">
        <v>627567</v>
      </c>
      <c r="Q29" s="314">
        <f t="shared" si="8"/>
        <v>662233</v>
      </c>
      <c r="R29" s="311">
        <f>'Remuneração da Dívida'!I37</f>
        <v>7966846</v>
      </c>
      <c r="S29" s="314">
        <f>'Remuneração da Dívida'!K37</f>
        <v>348379.35897599993</v>
      </c>
      <c r="T29" s="315" t="s">
        <v>29</v>
      </c>
      <c r="U29" s="329">
        <f t="shared" si="22"/>
        <v>0.23214540979789222</v>
      </c>
      <c r="V29" s="330">
        <f t="shared" si="23"/>
        <v>0.23618240437516588</v>
      </c>
      <c r="W29" s="330">
        <f t="shared" si="24"/>
        <v>0.16953914142989845</v>
      </c>
      <c r="X29" s="330">
        <f t="shared" si="25"/>
        <v>0.17218069322956478</v>
      </c>
      <c r="Y29" s="330">
        <v>0.1013</v>
      </c>
    </row>
    <row r="30" spans="2:25" x14ac:dyDescent="0.3">
      <c r="B30" s="305" t="s">
        <v>26</v>
      </c>
      <c r="C30" s="310">
        <v>2010</v>
      </c>
      <c r="D30" s="311">
        <v>15436950</v>
      </c>
      <c r="E30" s="312">
        <v>1</v>
      </c>
      <c r="F30" s="313">
        <f t="shared" si="18"/>
        <v>15436950</v>
      </c>
      <c r="G30" s="313">
        <v>400613544</v>
      </c>
      <c r="H30" s="311">
        <v>3764411</v>
      </c>
      <c r="I30" s="311">
        <f t="shared" si="4"/>
        <v>3764411</v>
      </c>
      <c r="J30" s="311">
        <f t="shared" si="19"/>
        <v>39171</v>
      </c>
      <c r="K30" s="311">
        <v>-167298</v>
      </c>
      <c r="L30" s="314">
        <f t="shared" si="20"/>
        <v>-206469</v>
      </c>
      <c r="M30" s="314">
        <f t="shared" si="21"/>
        <v>3557942</v>
      </c>
      <c r="N30" s="311">
        <f t="shared" si="7"/>
        <v>3557942</v>
      </c>
      <c r="O30" s="314">
        <v>941933</v>
      </c>
      <c r="P30" s="314">
        <v>756406</v>
      </c>
      <c r="Q30" s="314">
        <f t="shared" si="8"/>
        <v>1698339</v>
      </c>
      <c r="R30" s="311">
        <f>'Remuneração da Dívida'!I38</f>
        <v>13016149</v>
      </c>
      <c r="S30" s="314">
        <f>'Remuneração da Dívida'!K38</f>
        <v>478010.75999999995</v>
      </c>
      <c r="T30" s="315"/>
      <c r="U30" s="329">
        <f t="shared" si="22"/>
        <v>0.26342313245675397</v>
      </c>
      <c r="V30" s="330">
        <f t="shared" si="23"/>
        <v>0.24897499947254648</v>
      </c>
      <c r="W30" s="330">
        <f t="shared" si="24"/>
        <v>0.17119063882866561</v>
      </c>
      <c r="X30" s="330">
        <f t="shared" si="25"/>
        <v>0.16285918052304071</v>
      </c>
      <c r="Y30" s="330">
        <v>9.9000000000000005E-2</v>
      </c>
    </row>
    <row r="31" spans="2:25" x14ac:dyDescent="0.3">
      <c r="B31" s="305" t="s">
        <v>26</v>
      </c>
      <c r="C31" s="310">
        <v>2011</v>
      </c>
      <c r="D31" s="311">
        <v>19561380</v>
      </c>
      <c r="E31" s="312">
        <v>1</v>
      </c>
      <c r="F31" s="313">
        <f t="shared" si="18"/>
        <v>19561380</v>
      </c>
      <c r="G31" s="313">
        <v>510213593</v>
      </c>
      <c r="H31" s="311">
        <v>5182525</v>
      </c>
      <c r="I31" s="311">
        <f t="shared" si="4"/>
        <v>5182525</v>
      </c>
      <c r="J31" s="311">
        <f t="shared" si="19"/>
        <v>-167298</v>
      </c>
      <c r="K31" s="311">
        <v>-137798</v>
      </c>
      <c r="L31" s="314">
        <f t="shared" si="20"/>
        <v>29500</v>
      </c>
      <c r="M31" s="314">
        <f t="shared" si="21"/>
        <v>5212025</v>
      </c>
      <c r="N31" s="311">
        <f t="shared" si="7"/>
        <v>5212025</v>
      </c>
      <c r="O31" s="314">
        <v>1915623</v>
      </c>
      <c r="P31" s="314">
        <v>852865</v>
      </c>
      <c r="Q31" s="314">
        <f t="shared" si="8"/>
        <v>2768488</v>
      </c>
      <c r="R31" s="311">
        <f>'Remuneração da Dívida'!I39</f>
        <v>13884459</v>
      </c>
      <c r="S31" s="314">
        <f>'Remuneração da Dívida'!K39</f>
        <v>780968.93999999983</v>
      </c>
      <c r="T31" s="315"/>
      <c r="U31" s="329">
        <f t="shared" si="22"/>
        <v>0.29615841670159693</v>
      </c>
      <c r="V31" s="330">
        <f t="shared" si="23"/>
        <v>0.29784421142380224</v>
      </c>
      <c r="W31" s="330">
        <f t="shared" si="24"/>
        <v>0.19268485478700781</v>
      </c>
      <c r="X31" s="330">
        <f t="shared" si="25"/>
        <v>0.19363802138253161</v>
      </c>
      <c r="Y31" s="330">
        <v>0.1176</v>
      </c>
    </row>
    <row r="32" spans="2:25" x14ac:dyDescent="0.3">
      <c r="B32" s="305" t="s">
        <v>26</v>
      </c>
      <c r="C32" s="310">
        <v>2012</v>
      </c>
      <c r="D32" s="311">
        <v>25056944</v>
      </c>
      <c r="E32" s="312">
        <v>1</v>
      </c>
      <c r="F32" s="313">
        <f t="shared" si="18"/>
        <v>25056944</v>
      </c>
      <c r="G32" s="313">
        <v>702894971</v>
      </c>
      <c r="H32" s="311">
        <v>6066054</v>
      </c>
      <c r="I32" s="311">
        <f t="shared" si="4"/>
        <v>6066054</v>
      </c>
      <c r="J32" s="311">
        <f t="shared" si="19"/>
        <v>-137798</v>
      </c>
      <c r="K32" s="311">
        <v>-698304</v>
      </c>
      <c r="L32" s="314">
        <f t="shared" si="20"/>
        <v>-560506</v>
      </c>
      <c r="M32" s="314">
        <f t="shared" si="21"/>
        <v>5505548</v>
      </c>
      <c r="N32" s="311">
        <f t="shared" si="7"/>
        <v>5505548</v>
      </c>
      <c r="O32" s="314">
        <v>4082222</v>
      </c>
      <c r="P32" s="314">
        <v>1106451</v>
      </c>
      <c r="Q32" s="314">
        <f t="shared" si="8"/>
        <v>5188673</v>
      </c>
      <c r="R32" s="311">
        <f>'Remuneração da Dívida'!I40</f>
        <v>28452993</v>
      </c>
      <c r="S32" s="314">
        <f>'Remuneração da Dívida'!K40</f>
        <v>798328.62358200026</v>
      </c>
      <c r="T32" s="315" t="s">
        <v>30</v>
      </c>
      <c r="U32" s="329">
        <f t="shared" si="22"/>
        <v>0.27190864452909524</v>
      </c>
      <c r="V32" s="330">
        <f t="shared" si="23"/>
        <v>0.24678416876438478</v>
      </c>
      <c r="W32" s="330">
        <f t="shared" si="24"/>
        <v>0.15788215433974162</v>
      </c>
      <c r="X32" s="330">
        <f t="shared" si="25"/>
        <v>0.14499040578010597</v>
      </c>
      <c r="Y32" s="330">
        <v>8.6199999999999999E-2</v>
      </c>
    </row>
    <row r="33" spans="2:25" x14ac:dyDescent="0.3">
      <c r="B33" s="305" t="s">
        <v>26</v>
      </c>
      <c r="C33" s="310">
        <v>2013</v>
      </c>
      <c r="D33" s="311">
        <v>35373363</v>
      </c>
      <c r="E33" s="312">
        <v>1</v>
      </c>
      <c r="F33" s="313">
        <f t="shared" si="18"/>
        <v>35373363</v>
      </c>
      <c r="G33" s="313">
        <v>858325336</v>
      </c>
      <c r="H33" s="311">
        <v>6723372</v>
      </c>
      <c r="I33" s="311">
        <f t="shared" si="4"/>
        <v>6723372</v>
      </c>
      <c r="J33" s="311">
        <f t="shared" si="19"/>
        <v>-698304</v>
      </c>
      <c r="K33" s="311">
        <v>23069</v>
      </c>
      <c r="L33" s="314">
        <f t="shared" si="20"/>
        <v>721373</v>
      </c>
      <c r="M33" s="314">
        <f t="shared" si="21"/>
        <v>7444745</v>
      </c>
      <c r="N33" s="311">
        <f t="shared" si="7"/>
        <v>7444745</v>
      </c>
      <c r="O33" s="314">
        <v>2881228</v>
      </c>
      <c r="P33" s="314">
        <v>1216534</v>
      </c>
      <c r="Q33" s="314">
        <f t="shared" si="8"/>
        <v>4097762</v>
      </c>
      <c r="R33" s="311">
        <f>'Remuneração da Dívida'!I41</f>
        <v>28596515</v>
      </c>
      <c r="S33" s="314">
        <f>'Remuneração da Dívida'!K41</f>
        <v>1422763.4619719996</v>
      </c>
      <c r="T33" s="315"/>
      <c r="U33" s="329">
        <f t="shared" si="22"/>
        <v>0.22251655944756329</v>
      </c>
      <c r="V33" s="330">
        <f t="shared" si="23"/>
        <v>0.24639110306025749</v>
      </c>
      <c r="W33" s="330">
        <f t="shared" si="24"/>
        <v>0.13868144858709558</v>
      </c>
      <c r="X33" s="330">
        <f t="shared" si="25"/>
        <v>0.15096224763329769</v>
      </c>
      <c r="Y33" s="330">
        <v>8.2899999999999988E-2</v>
      </c>
    </row>
    <row r="34" spans="2:25" x14ac:dyDescent="0.3">
      <c r="B34" s="305" t="s">
        <v>26</v>
      </c>
      <c r="C34" s="310">
        <v>2014</v>
      </c>
      <c r="D34" s="311">
        <v>62090723</v>
      </c>
      <c r="E34" s="312">
        <v>1</v>
      </c>
      <c r="F34" s="313">
        <f t="shared" si="18"/>
        <v>62090723</v>
      </c>
      <c r="G34" s="313">
        <v>1064683404</v>
      </c>
      <c r="H34" s="311">
        <v>7091785</v>
      </c>
      <c r="I34" s="311">
        <f t="shared" si="4"/>
        <v>7091785</v>
      </c>
      <c r="J34" s="311">
        <f t="shared" si="19"/>
        <v>23069</v>
      </c>
      <c r="K34" s="311">
        <v>-3113693</v>
      </c>
      <c r="L34" s="314">
        <f t="shared" si="20"/>
        <v>-3136762</v>
      </c>
      <c r="M34" s="314">
        <f t="shared" si="21"/>
        <v>3955023</v>
      </c>
      <c r="N34" s="311">
        <f t="shared" si="7"/>
        <v>3955023</v>
      </c>
      <c r="O34" s="314">
        <v>1692379</v>
      </c>
      <c r="P34" s="314">
        <v>1298567</v>
      </c>
      <c r="Q34" s="314">
        <f t="shared" si="8"/>
        <v>2990946</v>
      </c>
      <c r="R34" s="311">
        <f>'Remuneração da Dívida'!I42</f>
        <v>0</v>
      </c>
      <c r="S34" s="314">
        <f>'Remuneração da Dívida'!K42</f>
        <v>1429940.1360599997</v>
      </c>
      <c r="T34" s="315"/>
      <c r="U34" s="329">
        <f t="shared" si="22"/>
        <v>0.14552611717920383</v>
      </c>
      <c r="V34" s="330">
        <f t="shared" si="23"/>
        <v>8.1158571578868549E-2</v>
      </c>
      <c r="W34" s="330">
        <f t="shared" si="24"/>
        <v>0.13520045229770083</v>
      </c>
      <c r="X34" s="330">
        <f t="shared" si="25"/>
        <v>8.5434514722962485E-2</v>
      </c>
      <c r="Y34" s="330">
        <v>0.1096</v>
      </c>
    </row>
    <row r="35" spans="2:25" x14ac:dyDescent="0.3">
      <c r="B35" s="305" t="s">
        <v>26</v>
      </c>
      <c r="C35" s="310">
        <v>2015</v>
      </c>
      <c r="D35" s="311">
        <v>62703443</v>
      </c>
      <c r="E35" s="312">
        <v>1</v>
      </c>
      <c r="F35" s="313">
        <f t="shared" si="18"/>
        <v>62703443</v>
      </c>
      <c r="G35" s="313">
        <v>1203280840</v>
      </c>
      <c r="H35" s="311">
        <v>7156354</v>
      </c>
      <c r="I35" s="311">
        <f t="shared" si="4"/>
        <v>7156354</v>
      </c>
      <c r="J35" s="311">
        <f t="shared" si="19"/>
        <v>-3113693</v>
      </c>
      <c r="K35" s="311">
        <v>-5107599</v>
      </c>
      <c r="L35" s="314">
        <f t="shared" si="20"/>
        <v>-1993906</v>
      </c>
      <c r="M35" s="314">
        <f t="shared" si="21"/>
        <v>5162448</v>
      </c>
      <c r="N35" s="311">
        <f t="shared" si="7"/>
        <v>5162448</v>
      </c>
      <c r="O35" s="314">
        <v>0</v>
      </c>
      <c r="P35" s="314">
        <v>1757678</v>
      </c>
      <c r="Q35" s="314">
        <f t="shared" si="8"/>
        <v>1757678</v>
      </c>
      <c r="R35" s="311">
        <f>'Remuneração da Dívida'!I43</f>
        <v>0</v>
      </c>
      <c r="S35" s="314">
        <f>'Remuneração da Dívida'!K43</f>
        <v>0</v>
      </c>
      <c r="T35" s="323"/>
      <c r="U35" s="329">
        <f t="shared" si="22"/>
        <v>0.11469052167070054</v>
      </c>
      <c r="V35" s="330">
        <f t="shared" si="23"/>
        <v>8.2735406076594964E-2</v>
      </c>
      <c r="W35" s="330">
        <f t="shared" si="24"/>
        <v>0.11469052167070054</v>
      </c>
      <c r="X35" s="330">
        <f t="shared" si="25"/>
        <v>8.2735406076594964E-2</v>
      </c>
      <c r="Y35" s="330">
        <v>0.13470000000000001</v>
      </c>
    </row>
    <row r="36" spans="2:25" x14ac:dyDescent="0.3">
      <c r="B36" s="305" t="s">
        <v>26</v>
      </c>
      <c r="C36" s="310">
        <v>2016</v>
      </c>
      <c r="D36" s="311">
        <v>63633589</v>
      </c>
      <c r="E36" s="312">
        <v>1</v>
      </c>
      <c r="F36" s="313">
        <f t="shared" si="18"/>
        <v>63633589</v>
      </c>
      <c r="G36" s="313">
        <v>1255451751</v>
      </c>
      <c r="H36" s="311">
        <v>4136658</v>
      </c>
      <c r="I36" s="311">
        <f t="shared" si="4"/>
        <v>4136658</v>
      </c>
      <c r="J36" s="311">
        <f t="shared" si="19"/>
        <v>-5107599</v>
      </c>
      <c r="K36" s="311">
        <v>-7111035</v>
      </c>
      <c r="L36" s="314">
        <f t="shared" si="20"/>
        <v>-2003436</v>
      </c>
      <c r="M36" s="314">
        <f t="shared" si="21"/>
        <v>2133222</v>
      </c>
      <c r="N36" s="311">
        <f t="shared" si="7"/>
        <v>2133222</v>
      </c>
      <c r="O36" s="314">
        <v>0</v>
      </c>
      <c r="P36" s="314">
        <v>681562</v>
      </c>
      <c r="Q36" s="314">
        <f t="shared" si="8"/>
        <v>681562</v>
      </c>
      <c r="R36" s="311">
        <f>'Remuneração da Dívida'!I44</f>
        <v>0</v>
      </c>
      <c r="S36" s="314">
        <f>'Remuneração da Dívida'!K44</f>
        <v>0</v>
      </c>
      <c r="T36" s="323"/>
      <c r="U36" s="329">
        <f t="shared" si="22"/>
        <v>6.5486072207236914E-2</v>
      </c>
      <c r="V36" s="330">
        <f t="shared" si="23"/>
        <v>3.3770335842621346E-2</v>
      </c>
      <c r="W36" s="330">
        <f t="shared" si="24"/>
        <v>6.5486072207236914E-2</v>
      </c>
      <c r="X36" s="330">
        <f t="shared" si="25"/>
        <v>3.3770335842621346E-2</v>
      </c>
      <c r="Y36" s="330">
        <v>0.14180000000000001</v>
      </c>
    </row>
    <row r="37" spans="2:25" x14ac:dyDescent="0.3">
      <c r="B37" s="305" t="s">
        <v>26</v>
      </c>
      <c r="C37" s="310">
        <v>2017</v>
      </c>
      <c r="D37" s="311">
        <v>71383553</v>
      </c>
      <c r="E37" s="312">
        <v>1</v>
      </c>
      <c r="F37" s="313">
        <f>D37*E37</f>
        <v>71383553</v>
      </c>
      <c r="G37" s="313">
        <v>1260767575</v>
      </c>
      <c r="H37" s="311">
        <v>8560003</v>
      </c>
      <c r="I37" s="311">
        <f>H37*E37</f>
        <v>8560003</v>
      </c>
      <c r="J37" s="311">
        <f>K36</f>
        <v>-7111035</v>
      </c>
      <c r="K37" s="311">
        <v>-9498258</v>
      </c>
      <c r="L37" s="314">
        <f>K37-J37</f>
        <v>-2387223</v>
      </c>
      <c r="M37" s="314">
        <f>H37+L37</f>
        <v>6172780</v>
      </c>
      <c r="N37" s="311">
        <f>M37*E37</f>
        <v>6172780</v>
      </c>
      <c r="O37" s="314">
        <v>0</v>
      </c>
      <c r="P37" s="314">
        <v>2294881</v>
      </c>
      <c r="Q37" s="314">
        <f>O37+P37</f>
        <v>2294881</v>
      </c>
      <c r="R37" s="311">
        <f>'Remuneração da Dívida'!I45</f>
        <v>0</v>
      </c>
      <c r="S37" s="314">
        <f>'Remuneração da Dívida'!K45</f>
        <v>0</v>
      </c>
      <c r="T37" s="317"/>
      <c r="U37" s="329">
        <f>I37/(AVERAGE(F36:F37))</f>
        <v>0.12679875863466286</v>
      </c>
      <c r="V37" s="330">
        <f>N37/(AVERAGE(F36:F37))</f>
        <v>9.1436982127795302E-2</v>
      </c>
      <c r="W37" s="330">
        <f>(I37+S37)/(AVERAGE((F36+R36),(F37+R37)))</f>
        <v>0.12679875863466286</v>
      </c>
      <c r="X37" s="330">
        <f>(N37+S37)/(AVERAGE((F36+R36),(F37+R37)))</f>
        <v>9.1436982127795302E-2</v>
      </c>
      <c r="Y37" s="330">
        <v>0.1011</v>
      </c>
    </row>
    <row r="38" spans="2:25" x14ac:dyDescent="0.3">
      <c r="B38" s="305" t="s">
        <v>26</v>
      </c>
      <c r="C38" s="310">
        <v>2018</v>
      </c>
      <c r="D38" s="311">
        <v>81241695</v>
      </c>
      <c r="E38" s="312">
        <v>1</v>
      </c>
      <c r="F38" s="313">
        <f>D38*E38</f>
        <v>81241695</v>
      </c>
      <c r="G38" s="313">
        <v>1264055128</v>
      </c>
      <c r="H38" s="311">
        <v>10355331</v>
      </c>
      <c r="I38" s="311">
        <f>H38*E38</f>
        <v>10355331</v>
      </c>
      <c r="J38" s="311">
        <f>K37</f>
        <v>-9498258</v>
      </c>
      <c r="K38" s="311">
        <v>-9164214</v>
      </c>
      <c r="L38" s="314">
        <f>K38-J38</f>
        <v>334044</v>
      </c>
      <c r="M38" s="314">
        <f>H38+L38</f>
        <v>10689375</v>
      </c>
      <c r="N38" s="311">
        <f>M38*E38</f>
        <v>10689375</v>
      </c>
      <c r="O38" s="314"/>
      <c r="P38" s="314">
        <v>1740942</v>
      </c>
      <c r="Q38" s="314">
        <f>O38+P38</f>
        <v>1740942</v>
      </c>
      <c r="R38" s="311">
        <f>'Remuneração da Dívida'!I47</f>
        <v>0</v>
      </c>
      <c r="S38" s="314">
        <f>'Remuneração da Dívida'!K47</f>
        <v>0</v>
      </c>
      <c r="T38" s="317"/>
      <c r="U38" s="329">
        <f>I38/(AVERAGE(F37:F38))</f>
        <v>0.13569617262800451</v>
      </c>
      <c r="V38" s="330">
        <f>N38/(AVERAGE(F37:F38))</f>
        <v>0.1400734824686411</v>
      </c>
      <c r="W38" s="330">
        <f>(I38+S38)/(AVERAGE((F37+R37),(F38+R38)))</f>
        <v>0.13569617262800451</v>
      </c>
      <c r="X38" s="330">
        <f>(N38+S38)/(AVERAGE((F37+R37),(F38+R38)))</f>
        <v>0.1400734824686411</v>
      </c>
      <c r="Y38" s="330">
        <v>6.4000000000000001E-2</v>
      </c>
    </row>
    <row r="39" spans="2:25" hidden="1" x14ac:dyDescent="0.3">
      <c r="B39" s="306" t="s">
        <v>31</v>
      </c>
      <c r="C39" s="318">
        <v>2001</v>
      </c>
      <c r="D39" s="319">
        <v>12203117</v>
      </c>
      <c r="E39" s="320">
        <v>1</v>
      </c>
      <c r="F39" s="321"/>
      <c r="G39" s="321">
        <v>112212415</v>
      </c>
      <c r="H39" s="319"/>
      <c r="I39" s="319"/>
      <c r="J39" s="319"/>
      <c r="K39" s="319">
        <v>21412</v>
      </c>
      <c r="L39" s="322">
        <f>J39-K39</f>
        <v>-21412</v>
      </c>
      <c r="M39" s="322">
        <f t="shared" ref="M39" si="26">H39-L39</f>
        <v>21412</v>
      </c>
      <c r="N39" s="322"/>
      <c r="O39" s="322" t="s">
        <v>24</v>
      </c>
      <c r="P39" s="322" t="s">
        <v>24</v>
      </c>
      <c r="Q39" s="322" t="e">
        <f t="shared" si="8"/>
        <v>#VALUE!</v>
      </c>
      <c r="R39" s="322" t="s">
        <v>24</v>
      </c>
      <c r="S39" s="322"/>
      <c r="T39" s="315" t="s">
        <v>25</v>
      </c>
      <c r="U39" s="326"/>
      <c r="V39" s="326"/>
      <c r="W39" s="326"/>
      <c r="X39" s="326"/>
    </row>
    <row r="40" spans="2:25" x14ac:dyDescent="0.3">
      <c r="B40" s="307" t="s">
        <v>31</v>
      </c>
      <c r="C40" s="310">
        <v>2002</v>
      </c>
      <c r="D40" s="311">
        <v>12350243</v>
      </c>
      <c r="E40" s="312">
        <v>1</v>
      </c>
      <c r="F40" s="313">
        <f t="shared" ref="F40:F55" si="27">D40*E40</f>
        <v>12350243</v>
      </c>
      <c r="G40" s="313">
        <v>150957960</v>
      </c>
      <c r="H40" s="311">
        <v>549569</v>
      </c>
      <c r="I40" s="311">
        <f>H40*E40</f>
        <v>549569</v>
      </c>
      <c r="J40" s="311"/>
      <c r="K40" s="311"/>
      <c r="L40" s="314">
        <f t="shared" ref="L40:L45" si="28">K40-J40</f>
        <v>0</v>
      </c>
      <c r="M40" s="314">
        <f>H40+L40</f>
        <v>549569</v>
      </c>
      <c r="N40" s="311">
        <f>M40*E40</f>
        <v>549569</v>
      </c>
      <c r="O40" s="314">
        <v>27479</v>
      </c>
      <c r="P40" s="314">
        <v>130000</v>
      </c>
      <c r="Q40" s="314">
        <f t="shared" si="8"/>
        <v>157479</v>
      </c>
      <c r="R40" s="311">
        <f>'Remuneração da Dívida'!I53</f>
        <v>0</v>
      </c>
      <c r="S40" s="314">
        <f>'Remuneração da Dívida'!K53</f>
        <v>0</v>
      </c>
      <c r="T40" s="315"/>
      <c r="U40" s="329">
        <f>I40/F40</f>
        <v>4.4498638609782822E-2</v>
      </c>
      <c r="V40" s="330">
        <f>N40/F40</f>
        <v>4.4498638609782822E-2</v>
      </c>
      <c r="W40" s="330">
        <f>(I40+S40)/(F40+R40)</f>
        <v>4.4498638609782822E-2</v>
      </c>
      <c r="X40" s="330">
        <f>(N40+S40)/(F40+R40)</f>
        <v>4.4498638609782822E-2</v>
      </c>
      <c r="Y40" s="330">
        <v>0.19210000000000002</v>
      </c>
    </row>
    <row r="41" spans="2:25" x14ac:dyDescent="0.3">
      <c r="B41" s="307" t="s">
        <v>31</v>
      </c>
      <c r="C41" s="310">
        <v>2003</v>
      </c>
      <c r="D41" s="311">
        <v>12856901</v>
      </c>
      <c r="E41" s="312">
        <v>1</v>
      </c>
      <c r="F41" s="313">
        <f t="shared" si="27"/>
        <v>12856901</v>
      </c>
      <c r="G41" s="313">
        <v>152125488</v>
      </c>
      <c r="H41" s="311">
        <v>1037824</v>
      </c>
      <c r="I41" s="311">
        <f t="shared" ref="I41:I55" si="29">H41*E41</f>
        <v>1037824</v>
      </c>
      <c r="J41" s="311"/>
      <c r="K41" s="311"/>
      <c r="L41" s="314">
        <f t="shared" si="28"/>
        <v>0</v>
      </c>
      <c r="M41" s="314">
        <f t="shared" ref="M41:M54" si="30">H41+L41</f>
        <v>1037824</v>
      </c>
      <c r="N41" s="311">
        <f t="shared" ref="N41:N55" si="31">M41*E41</f>
        <v>1037824</v>
      </c>
      <c r="O41" s="314">
        <v>6483</v>
      </c>
      <c r="P41" s="314">
        <v>240000</v>
      </c>
      <c r="Q41" s="314">
        <f t="shared" si="8"/>
        <v>246483</v>
      </c>
      <c r="R41" s="311">
        <f>'Remuneração da Dívida'!I54</f>
        <v>0</v>
      </c>
      <c r="S41" s="314">
        <f>'Remuneração da Dívida'!K54</f>
        <v>0</v>
      </c>
      <c r="T41" s="315"/>
      <c r="U41" s="329">
        <f>I41/(AVERAGE(F40:F41))</f>
        <v>8.2343640358463463E-2</v>
      </c>
      <c r="V41" s="330">
        <f>N41/(AVERAGE(F40:F41))</f>
        <v>8.2343640358463463E-2</v>
      </c>
      <c r="W41" s="330">
        <f>(I41+S41)/(AVERAGE((F40+R40),(F41+R41)))</f>
        <v>8.2343640358463463E-2</v>
      </c>
      <c r="X41" s="330">
        <f>(N41+S41)/(AVERAGE((F40+R40),(F41+R41)))</f>
        <v>8.2343640358463463E-2</v>
      </c>
      <c r="Y41" s="330">
        <v>0.23469999999999999</v>
      </c>
    </row>
    <row r="42" spans="2:25" x14ac:dyDescent="0.3">
      <c r="B42" s="307" t="s">
        <v>31</v>
      </c>
      <c r="C42" s="310">
        <v>2004</v>
      </c>
      <c r="D42" s="311">
        <v>14114732</v>
      </c>
      <c r="E42" s="312">
        <v>1</v>
      </c>
      <c r="F42" s="313">
        <f t="shared" si="27"/>
        <v>14114732</v>
      </c>
      <c r="G42" s="313">
        <v>163959380</v>
      </c>
      <c r="H42" s="311">
        <v>1497784</v>
      </c>
      <c r="I42" s="311">
        <f t="shared" si="29"/>
        <v>1497784</v>
      </c>
      <c r="J42" s="311"/>
      <c r="K42" s="311"/>
      <c r="L42" s="314">
        <f t="shared" si="28"/>
        <v>0</v>
      </c>
      <c r="M42" s="314">
        <f t="shared" si="30"/>
        <v>1497784</v>
      </c>
      <c r="N42" s="311">
        <f t="shared" si="31"/>
        <v>1497784</v>
      </c>
      <c r="O42" s="314">
        <v>724000</v>
      </c>
      <c r="P42" s="314">
        <v>355000</v>
      </c>
      <c r="Q42" s="314">
        <f t="shared" si="8"/>
        <v>1079000</v>
      </c>
      <c r="R42" s="311">
        <f>'Remuneração da Dívida'!I55</f>
        <v>0</v>
      </c>
      <c r="S42" s="314">
        <f>'Remuneração da Dívida'!K55</f>
        <v>0</v>
      </c>
      <c r="T42" s="315"/>
      <c r="U42" s="329">
        <f t="shared" ref="U42:U55" si="32">I42/(AVERAGE(F41:F42))</f>
        <v>0.11106364972413794</v>
      </c>
      <c r="V42" s="330">
        <f t="shared" ref="V42:V55" si="33">N42/(AVERAGE(F41:F42))</f>
        <v>0.11106364972413794</v>
      </c>
      <c r="W42" s="330">
        <f t="shared" ref="W42:W55" si="34">(I42+S42)/(AVERAGE((F41+R41),(F42+R42)))</f>
        <v>0.11106364972413794</v>
      </c>
      <c r="X42" s="330">
        <f t="shared" ref="X42:X55" si="35">(N42+S42)/(AVERAGE((F41+R41),(F42+R42)))</f>
        <v>0.11106364972413794</v>
      </c>
      <c r="Y42" s="330">
        <v>0.1638</v>
      </c>
    </row>
    <row r="43" spans="2:25" x14ac:dyDescent="0.3">
      <c r="B43" s="307" t="s">
        <v>31</v>
      </c>
      <c r="C43" s="310">
        <v>2005</v>
      </c>
      <c r="D43" s="311">
        <v>15710879</v>
      </c>
      <c r="E43" s="312">
        <v>1</v>
      </c>
      <c r="F43" s="313">
        <f t="shared" si="27"/>
        <v>15710879</v>
      </c>
      <c r="G43" s="313">
        <v>174967226</v>
      </c>
      <c r="H43" s="311">
        <v>3002489</v>
      </c>
      <c r="I43" s="311">
        <f t="shared" si="29"/>
        <v>3002489</v>
      </c>
      <c r="J43" s="311"/>
      <c r="K43" s="311"/>
      <c r="L43" s="314">
        <f t="shared" si="28"/>
        <v>0</v>
      </c>
      <c r="M43" s="314">
        <f t="shared" si="30"/>
        <v>3002489</v>
      </c>
      <c r="N43" s="311">
        <f t="shared" si="31"/>
        <v>3002489</v>
      </c>
      <c r="O43" s="314">
        <v>591000</v>
      </c>
      <c r="P43" s="314">
        <v>760000</v>
      </c>
      <c r="Q43" s="314">
        <f t="shared" si="8"/>
        <v>1351000</v>
      </c>
      <c r="R43" s="311">
        <f>'Remuneração da Dívida'!I56</f>
        <v>0</v>
      </c>
      <c r="S43" s="314">
        <f>'Remuneração da Dívida'!K56</f>
        <v>0</v>
      </c>
      <c r="T43" s="315" t="s">
        <v>32</v>
      </c>
      <c r="U43" s="329">
        <f t="shared" si="32"/>
        <v>0.20133629450206403</v>
      </c>
      <c r="V43" s="330">
        <f t="shared" si="33"/>
        <v>0.20133629450206403</v>
      </c>
      <c r="W43" s="330">
        <f t="shared" si="34"/>
        <v>0.20133629450206403</v>
      </c>
      <c r="X43" s="330">
        <f t="shared" si="35"/>
        <v>0.20133629450206403</v>
      </c>
      <c r="Y43" s="330">
        <v>0.1913</v>
      </c>
    </row>
    <row r="44" spans="2:25" x14ac:dyDescent="0.3">
      <c r="B44" s="307" t="s">
        <v>31</v>
      </c>
      <c r="C44" s="310">
        <v>2006</v>
      </c>
      <c r="D44" s="311">
        <v>19091930</v>
      </c>
      <c r="E44" s="312">
        <v>1</v>
      </c>
      <c r="F44" s="313">
        <f t="shared" si="27"/>
        <v>19091930</v>
      </c>
      <c r="G44" s="313">
        <v>187474869</v>
      </c>
      <c r="H44" s="311">
        <v>6331289</v>
      </c>
      <c r="I44" s="311">
        <f t="shared" si="29"/>
        <v>6331289</v>
      </c>
      <c r="J44" s="311"/>
      <c r="K44" s="311"/>
      <c r="L44" s="314">
        <f t="shared" si="28"/>
        <v>0</v>
      </c>
      <c r="M44" s="314">
        <f t="shared" si="30"/>
        <v>6331289</v>
      </c>
      <c r="N44" s="311">
        <f t="shared" si="31"/>
        <v>6331289</v>
      </c>
      <c r="O44" s="314">
        <v>389425</v>
      </c>
      <c r="P44" s="314">
        <v>1114256</v>
      </c>
      <c r="Q44" s="314">
        <f t="shared" si="8"/>
        <v>1503681</v>
      </c>
      <c r="R44" s="311">
        <f>'Remuneração da Dívida'!I57</f>
        <v>5354461</v>
      </c>
      <c r="S44" s="314">
        <f>'Remuneração da Dívida'!K57</f>
        <v>321267.65999999997</v>
      </c>
      <c r="T44" s="315"/>
      <c r="U44" s="329">
        <f t="shared" si="32"/>
        <v>0.36383781550506455</v>
      </c>
      <c r="V44" s="330">
        <f t="shared" si="33"/>
        <v>0.36383781550506455</v>
      </c>
      <c r="W44" s="330">
        <f t="shared" si="34"/>
        <v>0.3313251453597319</v>
      </c>
      <c r="X44" s="330">
        <f t="shared" si="35"/>
        <v>0.3313251453597319</v>
      </c>
      <c r="Y44" s="330">
        <v>0.14910000000000001</v>
      </c>
    </row>
    <row r="45" spans="2:25" x14ac:dyDescent="0.3">
      <c r="B45" s="307" t="s">
        <v>31</v>
      </c>
      <c r="C45" s="310">
        <v>2007</v>
      </c>
      <c r="D45" s="311">
        <v>24923350</v>
      </c>
      <c r="E45" s="312">
        <v>1</v>
      </c>
      <c r="F45" s="313">
        <f t="shared" si="27"/>
        <v>24923350</v>
      </c>
      <c r="G45" s="313">
        <v>202652058</v>
      </c>
      <c r="H45" s="311">
        <v>7313765</v>
      </c>
      <c r="I45" s="311">
        <f t="shared" si="29"/>
        <v>7313765</v>
      </c>
      <c r="J45" s="311"/>
      <c r="K45" s="311"/>
      <c r="L45" s="314">
        <f t="shared" si="28"/>
        <v>0</v>
      </c>
      <c r="M45" s="314">
        <f t="shared" si="30"/>
        <v>7313765</v>
      </c>
      <c r="N45" s="311">
        <f t="shared" si="31"/>
        <v>7313765</v>
      </c>
      <c r="O45" s="314">
        <v>525019</v>
      </c>
      <c r="P45" s="314">
        <v>1212000</v>
      </c>
      <c r="Q45" s="314">
        <f t="shared" si="8"/>
        <v>1737019</v>
      </c>
      <c r="R45" s="311">
        <f>'Remuneração da Dívida'!I58</f>
        <v>5580677</v>
      </c>
      <c r="S45" s="314">
        <f>'Remuneração da Dívida'!K58</f>
        <v>355768.15874999994</v>
      </c>
      <c r="T45" s="315" t="s">
        <v>33</v>
      </c>
      <c r="U45" s="329">
        <f t="shared" si="32"/>
        <v>0.33232845502743591</v>
      </c>
      <c r="V45" s="330">
        <f t="shared" si="33"/>
        <v>0.33232845502743591</v>
      </c>
      <c r="W45" s="330">
        <f t="shared" si="34"/>
        <v>0.27914376042598982</v>
      </c>
      <c r="X45" s="330">
        <f t="shared" si="35"/>
        <v>0.27914376042598982</v>
      </c>
      <c r="Y45" s="330">
        <v>0.12039999999999999</v>
      </c>
    </row>
    <row r="46" spans="2:25" x14ac:dyDescent="0.3">
      <c r="B46" s="307" t="s">
        <v>31</v>
      </c>
      <c r="C46" s="310">
        <v>2008</v>
      </c>
      <c r="D46" s="311">
        <v>25266621</v>
      </c>
      <c r="E46" s="312">
        <v>1</v>
      </c>
      <c r="F46" s="313">
        <f t="shared" si="27"/>
        <v>25266621</v>
      </c>
      <c r="G46" s="313">
        <v>277294449</v>
      </c>
      <c r="H46" s="311">
        <v>5313040</v>
      </c>
      <c r="I46" s="311">
        <f t="shared" si="29"/>
        <v>5313040</v>
      </c>
      <c r="J46" s="311">
        <f>Planilha1!A7</f>
        <v>0</v>
      </c>
      <c r="K46" s="311">
        <v>161647</v>
      </c>
      <c r="L46" s="314">
        <f>K46-J46</f>
        <v>161647</v>
      </c>
      <c r="M46" s="314">
        <f t="shared" si="30"/>
        <v>5474687</v>
      </c>
      <c r="N46" s="311">
        <f t="shared" si="31"/>
        <v>5474687</v>
      </c>
      <c r="O46" s="314">
        <v>0</v>
      </c>
      <c r="P46" s="314">
        <v>1319462</v>
      </c>
      <c r="Q46" s="314">
        <f t="shared" si="8"/>
        <v>1319462</v>
      </c>
      <c r="R46" s="311">
        <f>'Remuneração da Dívida'!I59</f>
        <v>5936566</v>
      </c>
      <c r="S46" s="314">
        <f>'Remuneração da Dívida'!K59</f>
        <v>371011.62873599993</v>
      </c>
      <c r="T46" s="315"/>
      <c r="U46" s="329">
        <f t="shared" si="32"/>
        <v>0.21171719744568093</v>
      </c>
      <c r="V46" s="330">
        <f t="shared" si="33"/>
        <v>0.21815860383740807</v>
      </c>
      <c r="W46" s="330">
        <f t="shared" si="34"/>
        <v>0.18422648699505376</v>
      </c>
      <c r="X46" s="330">
        <f t="shared" si="35"/>
        <v>0.18946564752497169</v>
      </c>
      <c r="Y46" s="330">
        <v>0.1245</v>
      </c>
    </row>
    <row r="47" spans="2:25" x14ac:dyDescent="0.3">
      <c r="B47" s="307" t="s">
        <v>31</v>
      </c>
      <c r="C47" s="310">
        <v>2009</v>
      </c>
      <c r="D47" s="311">
        <v>27628044</v>
      </c>
      <c r="E47" s="312">
        <v>1</v>
      </c>
      <c r="F47" s="313">
        <f t="shared" si="27"/>
        <v>27628044</v>
      </c>
      <c r="G47" s="313">
        <v>386633271</v>
      </c>
      <c r="H47" s="311">
        <v>6735169</v>
      </c>
      <c r="I47" s="311">
        <f>H47*E47</f>
        <v>6735169</v>
      </c>
      <c r="J47" s="311">
        <f t="shared" ref="J47:J54" si="36">K46</f>
        <v>161647</v>
      </c>
      <c r="K47" s="311">
        <v>124806</v>
      </c>
      <c r="L47" s="314">
        <f t="shared" ref="L47:L54" si="37">K47-J47</f>
        <v>-36841</v>
      </c>
      <c r="M47" s="314">
        <f t="shared" si="30"/>
        <v>6698328</v>
      </c>
      <c r="N47" s="311">
        <f t="shared" si="31"/>
        <v>6698328</v>
      </c>
      <c r="O47" s="314">
        <v>381547</v>
      </c>
      <c r="P47" s="314">
        <v>1207798</v>
      </c>
      <c r="Q47" s="314">
        <f t="shared" si="8"/>
        <v>1589345</v>
      </c>
      <c r="R47" s="311">
        <f>'Remuneração da Dívida'!I60</f>
        <v>12188216</v>
      </c>
      <c r="S47" s="314">
        <f>'Remuneração da Dívida'!K60</f>
        <v>746503.8535679999</v>
      </c>
      <c r="T47" s="315"/>
      <c r="U47" s="329">
        <f t="shared" si="32"/>
        <v>0.25466345235384324</v>
      </c>
      <c r="V47" s="330">
        <f t="shared" si="33"/>
        <v>0.25327045742703919</v>
      </c>
      <c r="W47" s="330">
        <f t="shared" si="34"/>
        <v>0.21069363870343849</v>
      </c>
      <c r="X47" s="330">
        <f t="shared" si="35"/>
        <v>0.20965614822565429</v>
      </c>
      <c r="Y47" s="330">
        <v>0.1013</v>
      </c>
    </row>
    <row r="48" spans="2:25" x14ac:dyDescent="0.3">
      <c r="B48" s="307" t="s">
        <v>31</v>
      </c>
      <c r="C48" s="310">
        <v>2010</v>
      </c>
      <c r="D48" s="311">
        <v>65899265</v>
      </c>
      <c r="E48" s="312">
        <v>1</v>
      </c>
      <c r="F48" s="313">
        <f t="shared" si="27"/>
        <v>65899265</v>
      </c>
      <c r="G48" s="313">
        <v>549019962</v>
      </c>
      <c r="H48" s="311">
        <v>9913322</v>
      </c>
      <c r="I48" s="311">
        <f t="shared" si="29"/>
        <v>9913322</v>
      </c>
      <c r="J48" s="311">
        <f t="shared" si="36"/>
        <v>124806</v>
      </c>
      <c r="K48" s="311">
        <v>29296552</v>
      </c>
      <c r="L48" s="314">
        <f t="shared" si="37"/>
        <v>29171746</v>
      </c>
      <c r="M48" s="314">
        <f t="shared" si="30"/>
        <v>39085068</v>
      </c>
      <c r="N48" s="311">
        <f t="shared" si="31"/>
        <v>39085068</v>
      </c>
      <c r="O48" s="314">
        <v>1967296</v>
      </c>
      <c r="P48" s="314">
        <v>1509965</v>
      </c>
      <c r="Q48" s="314">
        <f t="shared" si="8"/>
        <v>3477261</v>
      </c>
      <c r="R48" s="311">
        <f>'Remuneração da Dívida'!I61</f>
        <v>12551465</v>
      </c>
      <c r="S48" s="314">
        <f>'Remuneração da Dívida'!K61</f>
        <v>753087.89999999991</v>
      </c>
      <c r="T48" s="315"/>
      <c r="U48" s="329">
        <f t="shared" si="32"/>
        <v>0.21198775215482785</v>
      </c>
      <c r="V48" s="330">
        <f t="shared" si="33"/>
        <v>0.83580011908607355</v>
      </c>
      <c r="W48" s="330">
        <f t="shared" si="34"/>
        <v>0.1803784792358375</v>
      </c>
      <c r="X48" s="330">
        <f t="shared" si="35"/>
        <v>0.67369865251495786</v>
      </c>
      <c r="Y48" s="330">
        <v>9.9000000000000005E-2</v>
      </c>
    </row>
    <row r="49" spans="2:25" x14ac:dyDescent="0.3">
      <c r="B49" s="307" t="s">
        <v>31</v>
      </c>
      <c r="C49" s="310">
        <v>2011</v>
      </c>
      <c r="D49" s="311">
        <v>61012424</v>
      </c>
      <c r="E49" s="312">
        <v>1</v>
      </c>
      <c r="F49" s="313">
        <f t="shared" si="27"/>
        <v>61012424</v>
      </c>
      <c r="G49" s="313">
        <v>624826922</v>
      </c>
      <c r="H49" s="311">
        <v>9047934</v>
      </c>
      <c r="I49" s="311">
        <f t="shared" si="29"/>
        <v>9047934</v>
      </c>
      <c r="J49" s="311">
        <f t="shared" si="36"/>
        <v>29296552</v>
      </c>
      <c r="K49" s="311">
        <v>15411550</v>
      </c>
      <c r="L49" s="314">
        <f t="shared" si="37"/>
        <v>-13885002</v>
      </c>
      <c r="M49" s="314">
        <f t="shared" si="30"/>
        <v>-4837068</v>
      </c>
      <c r="N49" s="311">
        <f t="shared" si="31"/>
        <v>-4837068</v>
      </c>
      <c r="O49" s="314">
        <v>0</v>
      </c>
      <c r="P49" s="314">
        <v>2135380</v>
      </c>
      <c r="Q49" s="314">
        <f t="shared" si="8"/>
        <v>2135380</v>
      </c>
      <c r="R49" s="311">
        <f>'Remuneração da Dívida'!I62</f>
        <v>12975445</v>
      </c>
      <c r="S49" s="314">
        <f>'Remuneração da Dívida'!K62</f>
        <v>778526.69999999984</v>
      </c>
      <c r="T49" s="315"/>
      <c r="U49" s="329">
        <f t="shared" si="32"/>
        <v>0.14258629872934714</v>
      </c>
      <c r="V49" s="330">
        <f t="shared" si="33"/>
        <v>-7.6227304799323881E-2</v>
      </c>
      <c r="W49" s="330">
        <f t="shared" si="34"/>
        <v>0.12892352415282954</v>
      </c>
      <c r="X49" s="330">
        <f t="shared" si="35"/>
        <v>-5.3248210448326151E-2</v>
      </c>
      <c r="Y49" s="330">
        <v>0.1176</v>
      </c>
    </row>
    <row r="50" spans="2:25" x14ac:dyDescent="0.3">
      <c r="B50" s="307" t="s">
        <v>31</v>
      </c>
      <c r="C50" s="310">
        <v>2012</v>
      </c>
      <c r="D50" s="311">
        <v>49993301</v>
      </c>
      <c r="E50" s="312">
        <v>1</v>
      </c>
      <c r="F50" s="313">
        <f t="shared" si="27"/>
        <v>49993301</v>
      </c>
      <c r="G50" s="313">
        <v>715497509</v>
      </c>
      <c r="H50" s="311">
        <v>8125885</v>
      </c>
      <c r="I50" s="311">
        <f t="shared" si="29"/>
        <v>8125885</v>
      </c>
      <c r="J50" s="311">
        <f t="shared" si="36"/>
        <v>15411550</v>
      </c>
      <c r="K50" s="311">
        <v>8668109</v>
      </c>
      <c r="L50" s="314">
        <f t="shared" si="37"/>
        <v>-6743441</v>
      </c>
      <c r="M50" s="314">
        <f t="shared" si="30"/>
        <v>1382444</v>
      </c>
      <c r="N50" s="311">
        <f t="shared" si="31"/>
        <v>1382444</v>
      </c>
      <c r="O50" s="314">
        <v>2579604</v>
      </c>
      <c r="P50" s="314">
        <v>1973225</v>
      </c>
      <c r="Q50" s="314">
        <f t="shared" si="8"/>
        <v>4552829</v>
      </c>
      <c r="R50" s="311">
        <f>'Remuneração da Dívida'!I63</f>
        <v>13364506</v>
      </c>
      <c r="S50" s="314">
        <f>'Remuneração da Dívida'!K63</f>
        <v>768432.3659880003</v>
      </c>
      <c r="T50" s="315"/>
      <c r="U50" s="329">
        <f t="shared" si="32"/>
        <v>0.14640479128441347</v>
      </c>
      <c r="V50" s="330">
        <f t="shared" si="33"/>
        <v>2.4907616251323976E-2</v>
      </c>
      <c r="W50" s="330">
        <f t="shared" si="34"/>
        <v>0.12951725347346213</v>
      </c>
      <c r="X50" s="330">
        <f t="shared" si="35"/>
        <v>3.1320627319756322E-2</v>
      </c>
      <c r="Y50" s="330">
        <v>8.6199999999999999E-2</v>
      </c>
    </row>
    <row r="51" spans="2:25" x14ac:dyDescent="0.3">
      <c r="B51" s="307" t="s">
        <v>31</v>
      </c>
      <c r="C51" s="310">
        <v>2013</v>
      </c>
      <c r="D51" s="311">
        <v>60626150</v>
      </c>
      <c r="E51" s="312">
        <v>1</v>
      </c>
      <c r="F51" s="313">
        <f t="shared" si="27"/>
        <v>60626150</v>
      </c>
      <c r="G51" s="313">
        <v>782044458</v>
      </c>
      <c r="H51" s="311">
        <v>8150268</v>
      </c>
      <c r="I51" s="311">
        <f t="shared" si="29"/>
        <v>8150268</v>
      </c>
      <c r="J51" s="311">
        <f t="shared" si="36"/>
        <v>8668109</v>
      </c>
      <c r="K51" s="311">
        <v>3152357</v>
      </c>
      <c r="L51" s="314">
        <f t="shared" si="37"/>
        <v>-5515752</v>
      </c>
      <c r="M51" s="314">
        <f t="shared" si="30"/>
        <v>2634516</v>
      </c>
      <c r="N51" s="311">
        <f t="shared" si="31"/>
        <v>2634516</v>
      </c>
      <c r="O51" s="314">
        <v>2054462</v>
      </c>
      <c r="P51" s="314">
        <v>1753316</v>
      </c>
      <c r="Q51" s="314">
        <f t="shared" si="8"/>
        <v>3807778</v>
      </c>
      <c r="R51" s="311">
        <f>'Remuneração da Dívida'!I64</f>
        <v>13787365</v>
      </c>
      <c r="S51" s="314">
        <f>'Remuneração da Dívida'!K64</f>
        <v>689423.39945999975</v>
      </c>
      <c r="T51" s="315"/>
      <c r="U51" s="329">
        <f t="shared" si="32"/>
        <v>0.14735686945327545</v>
      </c>
      <c r="V51" s="330">
        <f t="shared" si="33"/>
        <v>4.7632057042120014E-2</v>
      </c>
      <c r="W51" s="330">
        <f t="shared" si="34"/>
        <v>0.12832411377253097</v>
      </c>
      <c r="X51" s="330">
        <f t="shared" si="35"/>
        <v>4.8252994182054809E-2</v>
      </c>
      <c r="Y51" s="330">
        <v>8.2899999999999988E-2</v>
      </c>
    </row>
    <row r="52" spans="2:25" x14ac:dyDescent="0.3">
      <c r="B52" s="307" t="s">
        <v>31</v>
      </c>
      <c r="C52" s="310">
        <v>2014</v>
      </c>
      <c r="D52" s="311">
        <v>30737492</v>
      </c>
      <c r="E52" s="312">
        <v>1</v>
      </c>
      <c r="F52" s="313">
        <f t="shared" si="27"/>
        <v>30737492</v>
      </c>
      <c r="G52" s="313">
        <v>877219351</v>
      </c>
      <c r="H52" s="311">
        <v>8593714</v>
      </c>
      <c r="I52" s="311">
        <f t="shared" si="29"/>
        <v>8593714</v>
      </c>
      <c r="J52" s="311">
        <f t="shared" si="36"/>
        <v>3152357</v>
      </c>
      <c r="K52" s="311">
        <v>-11128613</v>
      </c>
      <c r="L52" s="314">
        <f>K52-J52</f>
        <v>-14280970</v>
      </c>
      <c r="M52" s="314">
        <f t="shared" si="30"/>
        <v>-5687256</v>
      </c>
      <c r="N52" s="311">
        <f t="shared" si="31"/>
        <v>-5687256</v>
      </c>
      <c r="O52" s="314">
        <v>4395992</v>
      </c>
      <c r="P52" s="314">
        <v>983679</v>
      </c>
      <c r="Q52" s="314">
        <f t="shared" si="8"/>
        <v>5379671</v>
      </c>
      <c r="R52" s="311">
        <f>'Remuneração da Dívida'!I65</f>
        <v>35538976</v>
      </c>
      <c r="S52" s="314">
        <f>'Remuneração da Dívida'!K65</f>
        <v>1777090.9559039995</v>
      </c>
      <c r="T52" s="315" t="s">
        <v>34</v>
      </c>
      <c r="U52" s="329">
        <f t="shared" si="32"/>
        <v>0.18812109088208195</v>
      </c>
      <c r="V52" s="330">
        <f t="shared" si="33"/>
        <v>-0.12449713858823623</v>
      </c>
      <c r="W52" s="330">
        <f t="shared" si="34"/>
        <v>0.14742776613888708</v>
      </c>
      <c r="X52" s="330">
        <f t="shared" si="35"/>
        <v>-5.5585550025917634E-2</v>
      </c>
      <c r="Y52" s="330">
        <v>0.1096</v>
      </c>
    </row>
    <row r="53" spans="2:25" x14ac:dyDescent="0.3">
      <c r="B53" s="307" t="s">
        <v>31</v>
      </c>
      <c r="C53" s="310">
        <v>2015</v>
      </c>
      <c r="D53" s="311">
        <v>30993287</v>
      </c>
      <c r="E53" s="312">
        <v>1</v>
      </c>
      <c r="F53" s="313">
        <f t="shared" si="27"/>
        <v>30993287</v>
      </c>
      <c r="G53" s="313">
        <v>930575889</v>
      </c>
      <c r="H53" s="311">
        <v>6198526</v>
      </c>
      <c r="I53" s="311">
        <f t="shared" si="29"/>
        <v>6198526</v>
      </c>
      <c r="J53" s="311">
        <f t="shared" si="36"/>
        <v>-11128613</v>
      </c>
      <c r="K53" s="311">
        <v>-12285503</v>
      </c>
      <c r="L53" s="314">
        <f t="shared" si="37"/>
        <v>-1156890</v>
      </c>
      <c r="M53" s="314">
        <f t="shared" si="30"/>
        <v>5041636</v>
      </c>
      <c r="N53" s="311">
        <f t="shared" si="31"/>
        <v>5041636</v>
      </c>
      <c r="O53" s="314">
        <v>952889</v>
      </c>
      <c r="P53" s="314">
        <v>2389459</v>
      </c>
      <c r="Q53" s="314">
        <f t="shared" si="8"/>
        <v>3342348</v>
      </c>
      <c r="R53" s="311">
        <f>'Remuneração da Dívida'!I66</f>
        <v>36612898</v>
      </c>
      <c r="S53" s="314">
        <f>'Remuneração da Dívida'!K66</f>
        <v>2288269.5121019995</v>
      </c>
      <c r="T53" s="315"/>
      <c r="U53" s="329">
        <f t="shared" si="32"/>
        <v>0.20082448659849247</v>
      </c>
      <c r="V53" s="330">
        <f t="shared" si="33"/>
        <v>0.16334269813766647</v>
      </c>
      <c r="W53" s="330">
        <f t="shared" si="34"/>
        <v>0.12677961366812773</v>
      </c>
      <c r="X53" s="330">
        <f t="shared" si="35"/>
        <v>0.1094974643518903</v>
      </c>
      <c r="Y53" s="330">
        <v>0.13470000000000001</v>
      </c>
    </row>
    <row r="54" spans="2:25" x14ac:dyDescent="0.3">
      <c r="B54" s="307" t="s">
        <v>31</v>
      </c>
      <c r="C54" s="310">
        <v>2016</v>
      </c>
      <c r="D54" s="311">
        <v>55176043</v>
      </c>
      <c r="E54" s="312">
        <v>1</v>
      </c>
      <c r="F54" s="313">
        <f t="shared" si="27"/>
        <v>55176043</v>
      </c>
      <c r="G54" s="313">
        <v>876136583</v>
      </c>
      <c r="H54" s="311">
        <v>6391658</v>
      </c>
      <c r="I54" s="311">
        <f t="shared" si="29"/>
        <v>6391658</v>
      </c>
      <c r="J54" s="311">
        <f t="shared" si="36"/>
        <v>-12285503</v>
      </c>
      <c r="K54" s="311">
        <v>7214426</v>
      </c>
      <c r="L54" s="314">
        <f t="shared" si="37"/>
        <v>19499929</v>
      </c>
      <c r="M54" s="314">
        <f t="shared" si="30"/>
        <v>25891587</v>
      </c>
      <c r="N54" s="311">
        <f t="shared" si="31"/>
        <v>25891587</v>
      </c>
      <c r="O54" s="313">
        <v>0</v>
      </c>
      <c r="P54" s="314">
        <v>1518019</v>
      </c>
      <c r="Q54" s="314">
        <f t="shared" si="8"/>
        <v>1518019</v>
      </c>
      <c r="R54" s="311">
        <f>'Remuneração da Dívida'!I67</f>
        <v>36250422</v>
      </c>
      <c r="S54" s="314">
        <f>'Remuneração da Dívida'!K67</f>
        <v>2718781.65</v>
      </c>
      <c r="T54" s="315"/>
      <c r="U54" s="329">
        <f t="shared" si="32"/>
        <v>0.14835111286115374</v>
      </c>
      <c r="V54" s="330">
        <f t="shared" si="33"/>
        <v>0.6009466941428</v>
      </c>
      <c r="W54" s="330">
        <f t="shared" si="34"/>
        <v>0.11457319801940043</v>
      </c>
      <c r="X54" s="330">
        <f t="shared" si="35"/>
        <v>0.35980496646443355</v>
      </c>
      <c r="Y54" s="330">
        <v>0.14180000000000001</v>
      </c>
    </row>
    <row r="55" spans="2:25" x14ac:dyDescent="0.3">
      <c r="B55" s="307" t="s">
        <v>31</v>
      </c>
      <c r="C55" s="310">
        <v>2017</v>
      </c>
      <c r="D55" s="311">
        <v>62836305</v>
      </c>
      <c r="E55" s="312">
        <v>1</v>
      </c>
      <c r="F55" s="313">
        <f t="shared" si="27"/>
        <v>62836305</v>
      </c>
      <c r="G55" s="313">
        <v>867517060</v>
      </c>
      <c r="H55" s="311">
        <v>6183422</v>
      </c>
      <c r="I55" s="311">
        <f t="shared" si="29"/>
        <v>6183422</v>
      </c>
      <c r="J55" s="311">
        <f>K54</f>
        <v>7214426</v>
      </c>
      <c r="K55" s="311">
        <v>12285055</v>
      </c>
      <c r="L55" s="314">
        <f>K55-J55</f>
        <v>5070629</v>
      </c>
      <c r="M55" s="314">
        <f>H55+L55</f>
        <v>11254051</v>
      </c>
      <c r="N55" s="311">
        <f t="shared" si="31"/>
        <v>11254051</v>
      </c>
      <c r="O55" s="314">
        <v>0</v>
      </c>
      <c r="P55" s="314">
        <v>1468563</v>
      </c>
      <c r="Q55" s="314">
        <f t="shared" si="8"/>
        <v>1468563</v>
      </c>
      <c r="R55" s="311">
        <f>'Remuneração da Dívida'!I68</f>
        <v>36110598</v>
      </c>
      <c r="S55" s="314">
        <f>'Remuneração da Dívida'!K68</f>
        <v>2572771.7757059997</v>
      </c>
      <c r="T55" s="315"/>
      <c r="U55" s="329">
        <f t="shared" si="32"/>
        <v>0.10479279676733488</v>
      </c>
      <c r="V55" s="330">
        <f t="shared" si="33"/>
        <v>0.19072666870419355</v>
      </c>
      <c r="W55" s="330">
        <f t="shared" si="34"/>
        <v>9.1989692336650788E-2</v>
      </c>
      <c r="X55" s="330">
        <f t="shared" si="35"/>
        <v>0.14526005313627693</v>
      </c>
      <c r="Y55" s="330">
        <v>0.1011</v>
      </c>
    </row>
    <row r="56" spans="2:25" x14ac:dyDescent="0.3">
      <c r="B56" s="307" t="s">
        <v>31</v>
      </c>
      <c r="C56" s="310">
        <v>2018</v>
      </c>
      <c r="D56" s="311">
        <v>79556271</v>
      </c>
      <c r="E56" s="312">
        <v>1</v>
      </c>
      <c r="F56" s="313">
        <f t="shared" ref="F56" si="38">D56*E56</f>
        <v>79556271</v>
      </c>
      <c r="G56" s="313">
        <v>802526912</v>
      </c>
      <c r="H56" s="311">
        <v>6710777</v>
      </c>
      <c r="I56" s="311">
        <f t="shared" ref="I56" si="39">H56*E56</f>
        <v>6710777</v>
      </c>
      <c r="J56" s="311">
        <f>K55</f>
        <v>12285055</v>
      </c>
      <c r="K56" s="311">
        <v>23888053</v>
      </c>
      <c r="L56" s="314">
        <f>K56-J56</f>
        <v>11602998</v>
      </c>
      <c r="M56" s="314">
        <f>H56+L56</f>
        <v>18313775</v>
      </c>
      <c r="N56" s="311">
        <f t="shared" ref="N56" si="40">M56*E56</f>
        <v>18313775</v>
      </c>
      <c r="O56" s="314">
        <v>0</v>
      </c>
      <c r="P56" s="36">
        <v>1593809</v>
      </c>
      <c r="Q56" s="314">
        <f t="shared" ref="Q56" si="41">O56+P56</f>
        <v>1593809</v>
      </c>
      <c r="R56" s="311">
        <f>'Remuneração da Dívida'!I70</f>
        <v>0</v>
      </c>
      <c r="S56" s="314">
        <f>'Remuneração da Dívida'!K70</f>
        <v>0</v>
      </c>
      <c r="T56" s="315"/>
      <c r="U56" s="329">
        <f t="shared" ref="U56" si="42">I56/(AVERAGE(F55:F56))</f>
        <v>9.4257400048721643E-2</v>
      </c>
      <c r="V56" s="330">
        <f t="shared" ref="V56" si="43">N56/(AVERAGE(F55:F56))</f>
        <v>0.25722935162012939</v>
      </c>
      <c r="W56" s="330">
        <f t="shared" ref="W56" si="44">(I56+S56)/(AVERAGE((F55+R55),(F56+R56)))</f>
        <v>7.5189441729478709E-2</v>
      </c>
      <c r="X56" s="330">
        <f t="shared" ref="X56" si="45">(N56+S56)/(AVERAGE((F55+R55),(F56+R56)))</f>
        <v>0.20519270990665969</v>
      </c>
      <c r="Y56" s="330">
        <v>6.4000000000000001E-2</v>
      </c>
    </row>
    <row r="57" spans="2:25" x14ac:dyDescent="0.3">
      <c r="B57" s="308" t="s">
        <v>35</v>
      </c>
      <c r="C57" s="310">
        <v>2002</v>
      </c>
      <c r="D57" s="311">
        <v>1221254</v>
      </c>
      <c r="E57" s="312">
        <v>0.96919999999999995</v>
      </c>
      <c r="F57" s="313">
        <f>E57*D57</f>
        <v>1183639.3768</v>
      </c>
      <c r="G57" s="313">
        <v>4382283</v>
      </c>
      <c r="H57" s="311">
        <v>170566</v>
      </c>
      <c r="I57" s="311">
        <f>H57*E57</f>
        <v>165312.56719999999</v>
      </c>
      <c r="J57" s="311">
        <v>0</v>
      </c>
      <c r="K57" s="311">
        <v>0</v>
      </c>
      <c r="L57" s="314">
        <f>K57-J57</f>
        <v>0</v>
      </c>
      <c r="M57" s="314">
        <f>H57+L57</f>
        <v>170566</v>
      </c>
      <c r="N57" s="311">
        <f>M57*E57</f>
        <v>165312.56719999999</v>
      </c>
      <c r="O57" s="314">
        <v>0</v>
      </c>
      <c r="P57" s="314">
        <v>9970.1603999999988</v>
      </c>
      <c r="Q57" s="314">
        <f>O57+P57</f>
        <v>9970.1603999999988</v>
      </c>
      <c r="R57" s="311">
        <v>0</v>
      </c>
      <c r="S57" s="314">
        <v>0</v>
      </c>
      <c r="T57" s="315"/>
      <c r="U57" s="329">
        <f>I57/F57</f>
        <v>0.1396646397882832</v>
      </c>
      <c r="V57" s="330">
        <f>N57/F57</f>
        <v>0.1396646397882832</v>
      </c>
      <c r="W57" s="330">
        <f>(I57+S57)/(F57+R57)</f>
        <v>0.1396646397882832</v>
      </c>
      <c r="X57" s="330">
        <f>(N57+S57)/(F57+R57)</f>
        <v>0.1396646397882832</v>
      </c>
      <c r="Y57" s="330">
        <v>0.19210000000000002</v>
      </c>
    </row>
    <row r="58" spans="2:25" x14ac:dyDescent="0.3">
      <c r="B58" s="308" t="s">
        <v>35</v>
      </c>
      <c r="C58" s="310">
        <v>2003</v>
      </c>
      <c r="D58" s="311">
        <v>1426665</v>
      </c>
      <c r="E58" s="312">
        <v>0.96919999999999995</v>
      </c>
      <c r="F58" s="313">
        <f t="shared" ref="F58:F89" si="46">D58*E58</f>
        <v>1382723.7179999999</v>
      </c>
      <c r="G58" s="313">
        <v>4367309</v>
      </c>
      <c r="H58" s="311">
        <v>292868</v>
      </c>
      <c r="I58" s="311">
        <f t="shared" ref="I58:I72" si="47">H58*E58</f>
        <v>283847.66560000001</v>
      </c>
      <c r="J58" s="311">
        <f>K57</f>
        <v>0</v>
      </c>
      <c r="K58" s="311">
        <v>0</v>
      </c>
      <c r="L58" s="314">
        <f>K58-J58</f>
        <v>0</v>
      </c>
      <c r="M58" s="314">
        <f>H58+L58</f>
        <v>292868</v>
      </c>
      <c r="N58" s="311">
        <f t="shared" ref="N58:N72" si="48">M58*E58</f>
        <v>283847.66560000001</v>
      </c>
      <c r="O58" s="314">
        <v>0</v>
      </c>
      <c r="P58" s="314">
        <v>132351.04439999998</v>
      </c>
      <c r="Q58" s="314">
        <f>P58+O58</f>
        <v>132351.04439999998</v>
      </c>
      <c r="R58" s="311">
        <v>0</v>
      </c>
      <c r="S58" s="314">
        <v>0</v>
      </c>
      <c r="T58" s="315"/>
      <c r="U58" s="329">
        <f>I58/(AVERAGE(F57:F58))</f>
        <v>0.22120616227309067</v>
      </c>
      <c r="V58" s="330">
        <f>N58/(AVERAGE(F57:F58))</f>
        <v>0.22120616227309067</v>
      </c>
      <c r="W58" s="330">
        <f>(I58+S58)/(AVERAGE((F57+R57),(F58+R58)))</f>
        <v>0.22120616227309067</v>
      </c>
      <c r="X58" s="330">
        <f>(N58+S58)/(AVERAGE((F57+R57),(F58+R58)))</f>
        <v>0.22120616227309067</v>
      </c>
      <c r="Y58" s="330">
        <v>0.23469999999999999</v>
      </c>
    </row>
    <row r="59" spans="2:25" x14ac:dyDescent="0.3">
      <c r="B59" s="308" t="s">
        <v>35</v>
      </c>
      <c r="C59" s="310">
        <v>2004</v>
      </c>
      <c r="D59" s="311">
        <v>1473513</v>
      </c>
      <c r="E59" s="312">
        <v>0.96919999999999995</v>
      </c>
      <c r="F59" s="313">
        <f t="shared" si="46"/>
        <v>1428128.7996</v>
      </c>
      <c r="G59" s="313">
        <v>3833959</v>
      </c>
      <c r="H59" s="311">
        <v>114851</v>
      </c>
      <c r="I59" s="311">
        <f t="shared" si="47"/>
        <v>111313.58919999999</v>
      </c>
      <c r="J59" s="311">
        <f t="shared" ref="J59:J72" si="49">K58</f>
        <v>0</v>
      </c>
      <c r="K59" s="311">
        <v>0</v>
      </c>
      <c r="L59" s="314">
        <f t="shared" ref="L59:L71" si="50">K59-J59</f>
        <v>0</v>
      </c>
      <c r="M59" s="314">
        <f t="shared" ref="M59:M65" si="51">H59+L59</f>
        <v>114851</v>
      </c>
      <c r="N59" s="311">
        <f t="shared" si="48"/>
        <v>111313.58919999999</v>
      </c>
      <c r="O59" s="314">
        <v>0</v>
      </c>
      <c r="P59" s="314">
        <v>53156.743199999997</v>
      </c>
      <c r="Q59" s="314">
        <f t="shared" ref="Q59:Q72" si="52">P59+O59</f>
        <v>53156.743199999997</v>
      </c>
      <c r="R59" s="311">
        <v>0</v>
      </c>
      <c r="S59" s="314">
        <v>0</v>
      </c>
      <c r="T59" s="315"/>
      <c r="U59" s="329">
        <f t="shared" ref="U59:U72" si="53">I59/(AVERAGE(F58:F59))</f>
        <v>7.9202724798270993E-2</v>
      </c>
      <c r="V59" s="330">
        <f t="shared" ref="V59:V72" si="54">N59/(AVERAGE(F58:F59))</f>
        <v>7.9202724798270993E-2</v>
      </c>
      <c r="W59" s="330">
        <f t="shared" ref="W59:W72" si="55">(I59+S59)/(AVERAGE((F58+R58),(F59+R59)))</f>
        <v>7.9202724798270993E-2</v>
      </c>
      <c r="X59" s="330">
        <f t="shared" ref="X59:X72" si="56">(N59+S59)/(AVERAGE((F58+R58),(F59+R59)))</f>
        <v>7.9202724798270993E-2</v>
      </c>
      <c r="Y59" s="330">
        <v>0.1638</v>
      </c>
    </row>
    <row r="60" spans="2:25" x14ac:dyDescent="0.3">
      <c r="B60" s="308" t="s">
        <v>35</v>
      </c>
      <c r="C60" s="310">
        <v>2005</v>
      </c>
      <c r="D60" s="311">
        <v>1630875</v>
      </c>
      <c r="E60" s="312">
        <v>0.96919999999999995</v>
      </c>
      <c r="F60" s="313">
        <f t="shared" si="46"/>
        <v>1580644.0499999998</v>
      </c>
      <c r="G60" s="313">
        <v>4439604</v>
      </c>
      <c r="H60" s="311">
        <v>252425</v>
      </c>
      <c r="I60" s="311">
        <f t="shared" si="47"/>
        <v>244650.31</v>
      </c>
      <c r="J60" s="311">
        <f t="shared" si="49"/>
        <v>0</v>
      </c>
      <c r="K60" s="311">
        <v>0</v>
      </c>
      <c r="L60" s="314">
        <f t="shared" si="50"/>
        <v>0</v>
      </c>
      <c r="M60" s="314">
        <f t="shared" si="51"/>
        <v>252425</v>
      </c>
      <c r="N60" s="311">
        <f t="shared" si="48"/>
        <v>244650.31</v>
      </c>
      <c r="O60" s="314">
        <v>0</v>
      </c>
      <c r="P60" s="314">
        <v>119900.7012</v>
      </c>
      <c r="Q60" s="314">
        <f t="shared" si="52"/>
        <v>119900.7012</v>
      </c>
      <c r="R60" s="311">
        <v>0</v>
      </c>
      <c r="S60" s="314">
        <v>0</v>
      </c>
      <c r="T60" s="315"/>
      <c r="U60" s="329">
        <f t="shared" si="53"/>
        <v>0.16262464614603589</v>
      </c>
      <c r="V60" s="330">
        <f t="shared" si="54"/>
        <v>0.16262464614603589</v>
      </c>
      <c r="W60" s="330">
        <f t="shared" si="55"/>
        <v>0.16262464614603589</v>
      </c>
      <c r="X60" s="330">
        <f t="shared" si="56"/>
        <v>0.16262464614603589</v>
      </c>
      <c r="Y60" s="330">
        <v>0.1913</v>
      </c>
    </row>
    <row r="61" spans="2:25" x14ac:dyDescent="0.3">
      <c r="B61" s="308" t="s">
        <v>35</v>
      </c>
      <c r="C61" s="310">
        <v>2006</v>
      </c>
      <c r="D61" s="311">
        <v>1699090</v>
      </c>
      <c r="E61" s="312">
        <v>0.96899999999999997</v>
      </c>
      <c r="F61" s="313">
        <f t="shared" si="46"/>
        <v>1646418.21</v>
      </c>
      <c r="G61" s="313">
        <v>5158922</v>
      </c>
      <c r="H61" s="311">
        <v>167157</v>
      </c>
      <c r="I61" s="311">
        <f t="shared" si="47"/>
        <v>161975.133</v>
      </c>
      <c r="J61" s="311">
        <f t="shared" si="49"/>
        <v>0</v>
      </c>
      <c r="K61" s="311">
        <v>0</v>
      </c>
      <c r="L61" s="314">
        <f t="shared" si="50"/>
        <v>0</v>
      </c>
      <c r="M61" s="314">
        <f t="shared" si="51"/>
        <v>167157</v>
      </c>
      <c r="N61" s="311">
        <f t="shared" si="48"/>
        <v>161975.133</v>
      </c>
      <c r="O61" s="314">
        <v>0</v>
      </c>
      <c r="P61" s="314">
        <v>104990.181</v>
      </c>
      <c r="Q61" s="314">
        <f t="shared" si="52"/>
        <v>104990.181</v>
      </c>
      <c r="R61" s="311">
        <v>0</v>
      </c>
      <c r="S61" s="314">
        <v>0</v>
      </c>
      <c r="T61" s="315"/>
      <c r="U61" s="329">
        <f t="shared" si="53"/>
        <v>0.10038550232371408</v>
      </c>
      <c r="V61" s="330">
        <f t="shared" si="54"/>
        <v>0.10038550232371408</v>
      </c>
      <c r="W61" s="330">
        <f t="shared" si="55"/>
        <v>0.10038550232371408</v>
      </c>
      <c r="X61" s="330">
        <f t="shared" si="56"/>
        <v>0.10038550232371408</v>
      </c>
      <c r="Y61" s="330">
        <v>0.14910000000000001</v>
      </c>
    </row>
    <row r="62" spans="2:25" x14ac:dyDescent="0.3">
      <c r="B62" s="308" t="s">
        <v>35</v>
      </c>
      <c r="C62" s="310">
        <v>2007</v>
      </c>
      <c r="D62" s="311">
        <v>1798452</v>
      </c>
      <c r="E62" s="312">
        <v>0.96899999999999997</v>
      </c>
      <c r="F62" s="313">
        <f t="shared" si="46"/>
        <v>1742699.9879999999</v>
      </c>
      <c r="G62" s="313">
        <v>6120400</v>
      </c>
      <c r="H62" s="311">
        <v>179766</v>
      </c>
      <c r="I62" s="311">
        <f t="shared" si="47"/>
        <v>174193.25399999999</v>
      </c>
      <c r="J62" s="311">
        <f t="shared" si="49"/>
        <v>0</v>
      </c>
      <c r="K62" s="311">
        <v>0</v>
      </c>
      <c r="L62" s="314">
        <f t="shared" si="50"/>
        <v>0</v>
      </c>
      <c r="M62" s="314">
        <f t="shared" si="51"/>
        <v>179766</v>
      </c>
      <c r="N62" s="311">
        <f t="shared" si="48"/>
        <v>174193.25399999999</v>
      </c>
      <c r="O62" s="314">
        <v>0</v>
      </c>
      <c r="P62" s="314">
        <v>64726.292999999998</v>
      </c>
      <c r="Q62" s="314">
        <f t="shared" si="52"/>
        <v>64726.292999999998</v>
      </c>
      <c r="R62" s="311">
        <v>0</v>
      </c>
      <c r="S62" s="314">
        <v>0</v>
      </c>
      <c r="T62" s="315"/>
      <c r="U62" s="329">
        <f t="shared" si="53"/>
        <v>0.1027956204671738</v>
      </c>
      <c r="V62" s="330">
        <f t="shared" si="54"/>
        <v>0.1027956204671738</v>
      </c>
      <c r="W62" s="330">
        <f t="shared" si="55"/>
        <v>0.1027956204671738</v>
      </c>
      <c r="X62" s="330">
        <f t="shared" si="56"/>
        <v>0.1027956204671738</v>
      </c>
      <c r="Y62" s="330">
        <v>0.12039999999999999</v>
      </c>
    </row>
    <row r="63" spans="2:25" x14ac:dyDescent="0.3">
      <c r="B63" s="308" t="s">
        <v>35</v>
      </c>
      <c r="C63" s="310">
        <v>2008</v>
      </c>
      <c r="D63" s="311">
        <v>1885557</v>
      </c>
      <c r="E63" s="312">
        <v>0.96899999999999997</v>
      </c>
      <c r="F63" s="313">
        <f t="shared" si="46"/>
        <v>1827104.733</v>
      </c>
      <c r="G63" s="313">
        <v>7239780</v>
      </c>
      <c r="H63" s="311">
        <v>215850</v>
      </c>
      <c r="I63" s="311">
        <f t="shared" si="47"/>
        <v>209158.65</v>
      </c>
      <c r="J63" s="311">
        <f t="shared" si="49"/>
        <v>0</v>
      </c>
      <c r="K63" s="311">
        <v>0</v>
      </c>
      <c r="L63" s="314">
        <f t="shared" si="50"/>
        <v>0</v>
      </c>
      <c r="M63" s="314">
        <f t="shared" si="51"/>
        <v>215850</v>
      </c>
      <c r="N63" s="311">
        <f t="shared" si="48"/>
        <v>209158.65</v>
      </c>
      <c r="O63" s="314">
        <v>0</v>
      </c>
      <c r="P63" s="314">
        <v>106311.897</v>
      </c>
      <c r="Q63" s="314">
        <f t="shared" si="52"/>
        <v>106311.897</v>
      </c>
      <c r="R63" s="311">
        <v>0</v>
      </c>
      <c r="S63" s="314">
        <v>0</v>
      </c>
      <c r="T63" s="315"/>
      <c r="U63" s="329">
        <f t="shared" si="53"/>
        <v>0.11718212414790517</v>
      </c>
      <c r="V63" s="330">
        <f t="shared" si="54"/>
        <v>0.11718212414790517</v>
      </c>
      <c r="W63" s="330">
        <f t="shared" si="55"/>
        <v>0.11718212414790517</v>
      </c>
      <c r="X63" s="330">
        <f t="shared" si="56"/>
        <v>0.11718212414790517</v>
      </c>
      <c r="Y63" s="330">
        <v>0.1245</v>
      </c>
    </row>
    <row r="64" spans="2:25" x14ac:dyDescent="0.3">
      <c r="B64" s="308" t="s">
        <v>35</v>
      </c>
      <c r="C64" s="310">
        <v>2009</v>
      </c>
      <c r="D64" s="311">
        <v>1897318</v>
      </c>
      <c r="E64" s="312">
        <v>0.96899999999999997</v>
      </c>
      <c r="F64" s="313">
        <f t="shared" si="46"/>
        <v>1838501.142</v>
      </c>
      <c r="G64" s="313">
        <v>7805744</v>
      </c>
      <c r="H64" s="311">
        <v>26300</v>
      </c>
      <c r="I64" s="311">
        <f t="shared" si="47"/>
        <v>25484.7</v>
      </c>
      <c r="J64" s="311">
        <f t="shared" si="49"/>
        <v>0</v>
      </c>
      <c r="K64" s="311">
        <v>0</v>
      </c>
      <c r="L64" s="314">
        <f t="shared" si="50"/>
        <v>0</v>
      </c>
      <c r="M64" s="314">
        <f t="shared" si="51"/>
        <v>26300</v>
      </c>
      <c r="N64" s="311">
        <f t="shared" si="48"/>
        <v>25484.7</v>
      </c>
      <c r="O64" s="314">
        <v>0</v>
      </c>
      <c r="P64" s="314">
        <v>26793.819</v>
      </c>
      <c r="Q64" s="314">
        <f t="shared" si="52"/>
        <v>26793.819</v>
      </c>
      <c r="R64" s="311">
        <v>0</v>
      </c>
      <c r="S64" s="314">
        <v>0</v>
      </c>
      <c r="T64" s="315"/>
      <c r="U64" s="329">
        <f t="shared" si="53"/>
        <v>1.3904768198790603E-2</v>
      </c>
      <c r="V64" s="330">
        <f t="shared" si="54"/>
        <v>1.3904768198790603E-2</v>
      </c>
      <c r="W64" s="330">
        <f t="shared" si="55"/>
        <v>1.3904768198790603E-2</v>
      </c>
      <c r="X64" s="330">
        <f t="shared" si="56"/>
        <v>1.3904768198790603E-2</v>
      </c>
      <c r="Y64" s="330">
        <v>0.1013</v>
      </c>
    </row>
    <row r="65" spans="2:25" x14ac:dyDescent="0.3">
      <c r="B65" s="308" t="s">
        <v>35</v>
      </c>
      <c r="C65" s="310">
        <v>2010</v>
      </c>
      <c r="D65" s="311">
        <v>1933612</v>
      </c>
      <c r="E65" s="312">
        <v>0.96899999999999997</v>
      </c>
      <c r="F65" s="313">
        <f t="shared" si="46"/>
        <v>1873670.0279999999</v>
      </c>
      <c r="G65" s="313">
        <v>8461956</v>
      </c>
      <c r="H65" s="311">
        <v>142163</v>
      </c>
      <c r="I65" s="311">
        <f t="shared" si="47"/>
        <v>137755.94699999999</v>
      </c>
      <c r="J65" s="311">
        <f t="shared" si="49"/>
        <v>0</v>
      </c>
      <c r="K65" s="311">
        <v>0</v>
      </c>
      <c r="L65" s="314">
        <f t="shared" si="50"/>
        <v>0</v>
      </c>
      <c r="M65" s="314">
        <f t="shared" si="51"/>
        <v>142163</v>
      </c>
      <c r="N65" s="311">
        <f t="shared" si="48"/>
        <v>137755.94699999999</v>
      </c>
      <c r="O65" s="314">
        <v>0</v>
      </c>
      <c r="P65" s="314">
        <v>107513.45699999999</v>
      </c>
      <c r="Q65" s="314">
        <f t="shared" si="52"/>
        <v>107513.45699999999</v>
      </c>
      <c r="R65" s="311">
        <v>0</v>
      </c>
      <c r="S65" s="314">
        <v>0</v>
      </c>
      <c r="T65" s="315"/>
      <c r="U65" s="329">
        <f t="shared" si="53"/>
        <v>7.4218531792541231E-2</v>
      </c>
      <c r="V65" s="330">
        <f t="shared" si="54"/>
        <v>7.4218531792541231E-2</v>
      </c>
      <c r="W65" s="330">
        <f t="shared" si="55"/>
        <v>7.4218531792541231E-2</v>
      </c>
      <c r="X65" s="330">
        <f t="shared" si="56"/>
        <v>7.4218531792541231E-2</v>
      </c>
      <c r="Y65" s="330">
        <v>9.9000000000000005E-2</v>
      </c>
    </row>
    <row r="66" spans="2:25" x14ac:dyDescent="0.3">
      <c r="B66" s="308" t="s">
        <v>35</v>
      </c>
      <c r="C66" s="310">
        <v>2011</v>
      </c>
      <c r="D66" s="311">
        <v>1934215</v>
      </c>
      <c r="E66" s="312">
        <v>0.96899999999999997</v>
      </c>
      <c r="F66" s="313">
        <f t="shared" si="46"/>
        <v>1874254.335</v>
      </c>
      <c r="G66" s="313">
        <v>9871604</v>
      </c>
      <c r="H66" s="311">
        <v>78568</v>
      </c>
      <c r="I66" s="311">
        <f t="shared" si="47"/>
        <v>76132.391999999993</v>
      </c>
      <c r="J66" s="311">
        <f t="shared" si="49"/>
        <v>0</v>
      </c>
      <c r="K66" s="311">
        <v>0</v>
      </c>
      <c r="L66" s="314">
        <f t="shared" si="50"/>
        <v>0</v>
      </c>
      <c r="M66" s="314">
        <v>82878</v>
      </c>
      <c r="N66" s="311">
        <f t="shared" si="48"/>
        <v>80308.781999999992</v>
      </c>
      <c r="O66" s="314">
        <v>0</v>
      </c>
      <c r="P66" s="314">
        <v>76056.81</v>
      </c>
      <c r="Q66" s="314">
        <f t="shared" si="52"/>
        <v>76056.81</v>
      </c>
      <c r="R66" s="311">
        <v>0</v>
      </c>
      <c r="S66" s="314">
        <v>0</v>
      </c>
      <c r="T66" s="315"/>
      <c r="U66" s="329">
        <f t="shared" si="53"/>
        <v>4.0626429258599203E-2</v>
      </c>
      <c r="V66" s="330">
        <f t="shared" si="54"/>
        <v>4.2855070818834447E-2</v>
      </c>
      <c r="W66" s="330">
        <f t="shared" si="55"/>
        <v>4.0626429258599203E-2</v>
      </c>
      <c r="X66" s="330">
        <f t="shared" si="56"/>
        <v>4.2855070818834447E-2</v>
      </c>
      <c r="Y66" s="330">
        <v>0.1176</v>
      </c>
    </row>
    <row r="67" spans="2:25" x14ac:dyDescent="0.3">
      <c r="B67" s="308" t="s">
        <v>35</v>
      </c>
      <c r="C67" s="310">
        <v>2012</v>
      </c>
      <c r="D67" s="311">
        <v>1982964</v>
      </c>
      <c r="E67" s="312">
        <v>0.96899999999999997</v>
      </c>
      <c r="F67" s="313">
        <f t="shared" si="46"/>
        <v>1921492.1159999999</v>
      </c>
      <c r="G67" s="313">
        <v>10549264</v>
      </c>
      <c r="H67" s="311">
        <v>170306</v>
      </c>
      <c r="I67" s="311">
        <f t="shared" si="47"/>
        <v>165026.514</v>
      </c>
      <c r="J67" s="311">
        <v>0</v>
      </c>
      <c r="K67" s="311">
        <v>0</v>
      </c>
      <c r="L67" s="314">
        <f t="shared" si="50"/>
        <v>0</v>
      </c>
      <c r="M67" s="314">
        <v>129151</v>
      </c>
      <c r="N67" s="311">
        <f t="shared" si="48"/>
        <v>125147.319</v>
      </c>
      <c r="O67" s="314">
        <v>0</v>
      </c>
      <c r="P67" s="314">
        <v>76891.118999999992</v>
      </c>
      <c r="Q67" s="314">
        <f t="shared" si="52"/>
        <v>76891.118999999992</v>
      </c>
      <c r="R67" s="311">
        <v>0</v>
      </c>
      <c r="S67" s="314">
        <v>0</v>
      </c>
      <c r="T67" s="315"/>
      <c r="U67" s="329">
        <f t="shared" si="53"/>
        <v>8.6953391713781775E-2</v>
      </c>
      <c r="V67" s="330">
        <f t="shared" si="54"/>
        <v>6.5940821187900789E-2</v>
      </c>
      <c r="W67" s="330">
        <f t="shared" si="55"/>
        <v>8.6953391713781775E-2</v>
      </c>
      <c r="X67" s="330">
        <f t="shared" si="56"/>
        <v>6.5940821187900789E-2</v>
      </c>
      <c r="Y67" s="330">
        <v>8.6199999999999999E-2</v>
      </c>
    </row>
    <row r="68" spans="2:25" x14ac:dyDescent="0.3">
      <c r="B68" s="308" t="s">
        <v>35</v>
      </c>
      <c r="C68" s="310">
        <v>2013</v>
      </c>
      <c r="D68" s="311">
        <v>1624994</v>
      </c>
      <c r="E68" s="312">
        <v>0.96899999999999997</v>
      </c>
      <c r="F68" s="313">
        <f t="shared" si="46"/>
        <v>1574619.186</v>
      </c>
      <c r="G68" s="313">
        <v>11330107</v>
      </c>
      <c r="H68" s="311">
        <v>182498</v>
      </c>
      <c r="I68" s="311">
        <f t="shared" si="47"/>
        <v>176840.56200000001</v>
      </c>
      <c r="J68" s="311">
        <f t="shared" si="49"/>
        <v>0</v>
      </c>
      <c r="K68" s="311">
        <v>0</v>
      </c>
      <c r="L68" s="314">
        <f t="shared" si="50"/>
        <v>0</v>
      </c>
      <c r="M68" s="314">
        <v>-305788</v>
      </c>
      <c r="N68" s="311">
        <f t="shared" si="48"/>
        <v>-296308.57199999999</v>
      </c>
      <c r="O68" s="314">
        <v>0</v>
      </c>
      <c r="P68" s="314">
        <v>48060.462</v>
      </c>
      <c r="Q68" s="314">
        <f t="shared" si="52"/>
        <v>48060.462</v>
      </c>
      <c r="R68" s="311">
        <v>0</v>
      </c>
      <c r="S68" s="314">
        <v>0</v>
      </c>
      <c r="T68" s="315"/>
      <c r="U68" s="329">
        <f t="shared" si="53"/>
        <v>0.10116414880661027</v>
      </c>
      <c r="V68" s="330">
        <f t="shared" si="54"/>
        <v>-0.16950751644004725</v>
      </c>
      <c r="W68" s="330">
        <f t="shared" si="55"/>
        <v>0.10116414880661027</v>
      </c>
      <c r="X68" s="330">
        <f t="shared" si="56"/>
        <v>-0.16950751644004725</v>
      </c>
      <c r="Y68" s="330">
        <v>8.2899999999999988E-2</v>
      </c>
    </row>
    <row r="69" spans="2:25" x14ac:dyDescent="0.3">
      <c r="B69" s="308" t="s">
        <v>35</v>
      </c>
      <c r="C69" s="310">
        <v>2014</v>
      </c>
      <c r="D69" s="311">
        <v>2693712</v>
      </c>
      <c r="E69" s="312">
        <v>0.96699999999999997</v>
      </c>
      <c r="F69" s="313">
        <f t="shared" si="46"/>
        <v>2604819.5039999997</v>
      </c>
      <c r="G69" s="313">
        <v>12418434</v>
      </c>
      <c r="H69" s="311">
        <v>183300</v>
      </c>
      <c r="I69" s="311">
        <f t="shared" si="47"/>
        <v>177251.1</v>
      </c>
      <c r="J69" s="311">
        <f t="shared" si="49"/>
        <v>0</v>
      </c>
      <c r="K69" s="311">
        <v>0</v>
      </c>
      <c r="L69" s="314">
        <f t="shared" si="50"/>
        <v>0</v>
      </c>
      <c r="M69" s="314">
        <v>158490</v>
      </c>
      <c r="N69" s="311">
        <f t="shared" si="48"/>
        <v>153259.82999999999</v>
      </c>
      <c r="O69" s="314">
        <v>0</v>
      </c>
      <c r="P69" s="314">
        <v>68830.092999999993</v>
      </c>
      <c r="Q69" s="314">
        <f t="shared" si="52"/>
        <v>68830.092999999993</v>
      </c>
      <c r="R69" s="311">
        <v>1003019</v>
      </c>
      <c r="S69" s="314">
        <f>'Remuneração da Dívida'!K88</f>
        <v>3019</v>
      </c>
      <c r="T69" s="315"/>
      <c r="U69" s="329">
        <f t="shared" si="53"/>
        <v>8.4820528854318483E-2</v>
      </c>
      <c r="V69" s="330">
        <f t="shared" si="54"/>
        <v>7.3339910628046567E-2</v>
      </c>
      <c r="W69" s="330">
        <f t="shared" si="55"/>
        <v>6.9569347511643662E-2</v>
      </c>
      <c r="X69" s="330">
        <f t="shared" si="56"/>
        <v>6.0310701735801338E-2</v>
      </c>
      <c r="Y69" s="330">
        <v>0.1096</v>
      </c>
    </row>
    <row r="70" spans="2:25" x14ac:dyDescent="0.3">
      <c r="B70" s="308" t="s">
        <v>35</v>
      </c>
      <c r="C70" s="310">
        <v>2015</v>
      </c>
      <c r="D70" s="313">
        <v>1924158</v>
      </c>
      <c r="E70" s="312">
        <v>0.96699999999999997</v>
      </c>
      <c r="F70" s="313">
        <f t="shared" si="46"/>
        <v>1860660.7859999998</v>
      </c>
      <c r="G70" s="313">
        <v>12083092</v>
      </c>
      <c r="H70" s="311">
        <v>248968</v>
      </c>
      <c r="I70" s="311">
        <f t="shared" si="47"/>
        <v>240752.05599999998</v>
      </c>
      <c r="J70" s="311">
        <f t="shared" si="49"/>
        <v>0</v>
      </c>
      <c r="K70" s="311">
        <v>0</v>
      </c>
      <c r="L70" s="314">
        <f t="shared" si="50"/>
        <v>0</v>
      </c>
      <c r="M70" s="314">
        <v>308409</v>
      </c>
      <c r="N70" s="311">
        <f t="shared" si="48"/>
        <v>298231.50299999997</v>
      </c>
      <c r="O70" s="314">
        <v>0</v>
      </c>
      <c r="P70" s="314">
        <v>91827.286999999997</v>
      </c>
      <c r="Q70" s="314">
        <f t="shared" si="52"/>
        <v>91827.286999999997</v>
      </c>
      <c r="R70" s="311">
        <v>999999</v>
      </c>
      <c r="S70" s="314">
        <f>'Remuneração da Dívida'!K89</f>
        <v>146224.66260000001</v>
      </c>
      <c r="T70" s="315"/>
      <c r="U70" s="329">
        <f t="shared" si="53"/>
        <v>0.1078280679187591</v>
      </c>
      <c r="V70" s="330">
        <f t="shared" si="54"/>
        <v>0.13357197149335084</v>
      </c>
      <c r="W70" s="330">
        <f t="shared" si="55"/>
        <v>0.11964963156850431</v>
      </c>
      <c r="X70" s="330">
        <f t="shared" si="56"/>
        <v>0.13742174633859261</v>
      </c>
      <c r="Y70" s="330">
        <v>0.13470000000000001</v>
      </c>
    </row>
    <row r="71" spans="2:25" x14ac:dyDescent="0.3">
      <c r="B71" s="308" t="s">
        <v>35</v>
      </c>
      <c r="C71" s="310">
        <v>2016</v>
      </c>
      <c r="D71" s="313">
        <v>1959689</v>
      </c>
      <c r="E71" s="312">
        <v>0.96599999999999997</v>
      </c>
      <c r="F71" s="313">
        <f t="shared" si="46"/>
        <v>1893059.574</v>
      </c>
      <c r="G71" s="313">
        <v>14174359</v>
      </c>
      <c r="H71" s="311">
        <v>130682</v>
      </c>
      <c r="I71" s="311">
        <f t="shared" si="47"/>
        <v>126238.81199999999</v>
      </c>
      <c r="J71" s="311">
        <f t="shared" si="49"/>
        <v>0</v>
      </c>
      <c r="K71" s="311">
        <v>0</v>
      </c>
      <c r="L71" s="314">
        <f t="shared" si="50"/>
        <v>0</v>
      </c>
      <c r="M71" s="314">
        <v>75076</v>
      </c>
      <c r="N71" s="311">
        <f t="shared" si="48"/>
        <v>72523.415999999997</v>
      </c>
      <c r="O71" s="314">
        <v>0</v>
      </c>
      <c r="P71" s="314">
        <v>37418.976000000002</v>
      </c>
      <c r="Q71" s="314">
        <f t="shared" si="52"/>
        <v>37418.976000000002</v>
      </c>
      <c r="R71" s="311">
        <v>999999</v>
      </c>
      <c r="S71" s="314">
        <f>'Remuneração da Dívida'!K90</f>
        <v>148099.03960000002</v>
      </c>
      <c r="T71" s="315"/>
      <c r="U71" s="329">
        <f t="shared" si="53"/>
        <v>6.7260637390687245E-2</v>
      </c>
      <c r="V71" s="330">
        <f t="shared" si="54"/>
        <v>3.8640819797242432E-2</v>
      </c>
      <c r="W71" s="330">
        <f t="shared" si="55"/>
        <v>9.5360194724581557E-2</v>
      </c>
      <c r="X71" s="330">
        <f t="shared" si="56"/>
        <v>7.6688653074774432E-2</v>
      </c>
      <c r="Y71" s="330">
        <v>0.14180000000000001</v>
      </c>
    </row>
    <row r="72" spans="2:25" x14ac:dyDescent="0.3">
      <c r="B72" s="308" t="s">
        <v>35</v>
      </c>
      <c r="C72" s="310">
        <v>2017</v>
      </c>
      <c r="D72" s="311">
        <v>1885309</v>
      </c>
      <c r="E72" s="312">
        <v>0.96499999999999997</v>
      </c>
      <c r="F72" s="313">
        <f t="shared" si="46"/>
        <v>1819323.1850000001</v>
      </c>
      <c r="G72" s="313">
        <v>16952092</v>
      </c>
      <c r="H72" s="311">
        <v>64507</v>
      </c>
      <c r="I72" s="311">
        <f t="shared" si="47"/>
        <v>62249.254999999997</v>
      </c>
      <c r="J72" s="311">
        <f t="shared" si="49"/>
        <v>0</v>
      </c>
      <c r="K72" s="311">
        <v>0</v>
      </c>
      <c r="L72" s="314">
        <f>K72-J72</f>
        <v>0</v>
      </c>
      <c r="M72" s="314">
        <v>-54944</v>
      </c>
      <c r="N72" s="311">
        <f t="shared" si="48"/>
        <v>-53020.959999999999</v>
      </c>
      <c r="O72" s="314">
        <v>0</v>
      </c>
      <c r="P72" s="314">
        <v>17975.055</v>
      </c>
      <c r="Q72" s="314">
        <f t="shared" si="52"/>
        <v>17975.055</v>
      </c>
      <c r="R72" s="311">
        <v>999999</v>
      </c>
      <c r="S72" s="314">
        <f>'Remuneração da Dívida'!K91</f>
        <v>104559.03539999999</v>
      </c>
      <c r="T72" s="315"/>
      <c r="U72" s="329">
        <f t="shared" si="53"/>
        <v>3.3536011258046033E-2</v>
      </c>
      <c r="V72" s="330">
        <f t="shared" si="54"/>
        <v>-2.8564382199793532E-2</v>
      </c>
      <c r="W72" s="330">
        <f t="shared" si="55"/>
        <v>5.8402371073458061E-2</v>
      </c>
      <c r="X72" s="330">
        <f t="shared" si="56"/>
        <v>1.8044341781244345E-2</v>
      </c>
      <c r="Y72" s="330">
        <v>0.1011</v>
      </c>
    </row>
    <row r="73" spans="2:25" x14ac:dyDescent="0.3">
      <c r="B73" s="308" t="s">
        <v>35</v>
      </c>
      <c r="C73" s="310">
        <v>2018</v>
      </c>
      <c r="D73" s="311">
        <v>1623252</v>
      </c>
      <c r="E73" s="312">
        <v>0.96399999999999997</v>
      </c>
      <c r="F73" s="313">
        <f t="shared" si="46"/>
        <v>1564814.9279999998</v>
      </c>
      <c r="G73" s="313">
        <v>5328669</v>
      </c>
      <c r="H73" s="311">
        <v>109078</v>
      </c>
      <c r="I73" s="311">
        <f t="shared" ref="I73" si="57">H73*E73</f>
        <v>105151.192</v>
      </c>
      <c r="J73" s="311">
        <f t="shared" ref="J73" si="58">K72</f>
        <v>0</v>
      </c>
      <c r="K73" s="311">
        <v>0</v>
      </c>
      <c r="L73" s="314">
        <f>K73-J73</f>
        <v>0</v>
      </c>
      <c r="M73" s="314">
        <v>95881</v>
      </c>
      <c r="N73" s="311">
        <f t="shared" ref="N73" si="59">M73*E73</f>
        <v>92429.284</v>
      </c>
      <c r="O73" s="314">
        <v>0</v>
      </c>
      <c r="P73" s="314">
        <f>41773*E73</f>
        <v>40269.171999999999</v>
      </c>
      <c r="Q73" s="314">
        <f t="shared" ref="Q73" si="60">P73+O73</f>
        <v>40269.171999999999</v>
      </c>
      <c r="R73" s="311">
        <v>999999</v>
      </c>
      <c r="S73" s="327">
        <v>67600.960000000006</v>
      </c>
      <c r="T73" s="315"/>
      <c r="U73" s="329">
        <f t="shared" ref="U73" si="61">I73/(AVERAGE(F72:F73))</f>
        <v>6.2143558264402314E-2</v>
      </c>
      <c r="V73" s="330">
        <f t="shared" ref="V73" si="62">N73/(AVERAGE(F72:F73))</f>
        <v>5.4625006967025047E-2</v>
      </c>
      <c r="W73" s="330">
        <f t="shared" ref="W73" si="63">(I73+S73)/(AVERAGE((F72+R72),(F73+R73)))</f>
        <v>6.4170796716260511E-2</v>
      </c>
      <c r="X73" s="330">
        <f t="shared" ref="X73" si="64">(N73+S73)/(AVERAGE((F72+R72),(F73+R73)))</f>
        <v>5.9445095978761339E-2</v>
      </c>
      <c r="Y73" s="330">
        <v>6.4000000000000001E-2</v>
      </c>
    </row>
    <row r="74" spans="2:25" x14ac:dyDescent="0.3">
      <c r="B74" s="309" t="s">
        <v>36</v>
      </c>
      <c r="C74" s="310">
        <v>2002</v>
      </c>
      <c r="D74" s="311">
        <v>1170265</v>
      </c>
      <c r="E74" s="312">
        <v>0.94220000000000004</v>
      </c>
      <c r="F74" s="313">
        <f t="shared" si="46"/>
        <v>1102623.683</v>
      </c>
      <c r="G74" s="313">
        <v>11023681</v>
      </c>
      <c r="H74" s="311">
        <v>160854</v>
      </c>
      <c r="I74" s="311">
        <f>H74*E74</f>
        <v>151556.63880000002</v>
      </c>
      <c r="J74" s="311">
        <v>0</v>
      </c>
      <c r="K74" s="311">
        <v>-39032</v>
      </c>
      <c r="L74" s="314">
        <f>K74-J74</f>
        <v>-39032</v>
      </c>
      <c r="M74" s="314">
        <f t="shared" ref="M74:M82" si="65">H74+L74</f>
        <v>121822</v>
      </c>
      <c r="N74" s="311">
        <f>M74*E74</f>
        <v>114780.6884</v>
      </c>
      <c r="O74" s="314">
        <v>0</v>
      </c>
      <c r="P74" s="314">
        <v>0</v>
      </c>
      <c r="Q74" s="314">
        <f>O74+P74</f>
        <v>0</v>
      </c>
      <c r="R74" s="311">
        <v>0</v>
      </c>
      <c r="S74" s="314">
        <v>0</v>
      </c>
      <c r="T74" s="315"/>
      <c r="U74" s="329">
        <f>I74/F74</f>
        <v>0.13745091923624139</v>
      </c>
      <c r="V74" s="330">
        <f>N74/F74</f>
        <v>0.10409778981683636</v>
      </c>
      <c r="W74" s="330">
        <f>(I74+S74)/(F74+R74)</f>
        <v>0.13745091923624139</v>
      </c>
      <c r="X74" s="330">
        <f>(N74+S74)/(F74+R74)</f>
        <v>0.10409778981683636</v>
      </c>
      <c r="Y74" s="330">
        <v>0.19210000000000002</v>
      </c>
    </row>
    <row r="75" spans="2:25" x14ac:dyDescent="0.3">
      <c r="B75" s="309" t="s">
        <v>36</v>
      </c>
      <c r="C75" s="310">
        <v>2003</v>
      </c>
      <c r="D75" s="311">
        <v>1315181</v>
      </c>
      <c r="E75" s="312">
        <v>0.94220000000000004</v>
      </c>
      <c r="F75" s="313">
        <f t="shared" si="46"/>
        <v>1239163.5382000001</v>
      </c>
      <c r="G75" s="313">
        <v>12755944</v>
      </c>
      <c r="H75" s="311">
        <v>84715</v>
      </c>
      <c r="I75" s="311">
        <f t="shared" ref="I75:I89" si="66">H75*E75</f>
        <v>79818.472999999998</v>
      </c>
      <c r="J75" s="311">
        <f t="shared" ref="J75:J87" si="67">K74</f>
        <v>-39032</v>
      </c>
      <c r="K75" s="311">
        <v>41554</v>
      </c>
      <c r="L75" s="314">
        <f>K75-J75</f>
        <v>80586</v>
      </c>
      <c r="M75" s="314">
        <f t="shared" si="65"/>
        <v>165301</v>
      </c>
      <c r="N75" s="311">
        <f t="shared" ref="N75:N89" si="68">M75*E75</f>
        <v>155746.60219999999</v>
      </c>
      <c r="O75" s="314">
        <v>19353.730200000002</v>
      </c>
      <c r="P75" s="314">
        <v>0</v>
      </c>
      <c r="Q75" s="314">
        <f t="shared" ref="Q75:Q87" si="69">O75+P75</f>
        <v>19353.730200000002</v>
      </c>
      <c r="R75" s="311">
        <v>0</v>
      </c>
      <c r="S75" s="314">
        <v>0</v>
      </c>
      <c r="T75" s="315"/>
      <c r="U75" s="329">
        <f>I75/(AVERAGE(F74:F75))</f>
        <v>6.8168851787566501E-2</v>
      </c>
      <c r="V75" s="330">
        <f>N75/(AVERAGE(F74:F75))</f>
        <v>0.13301516106163641</v>
      </c>
      <c r="W75" s="330">
        <f>(I75+S75)/(AVERAGE((F74+R74),(F75+R75)))</f>
        <v>6.8168851787566501E-2</v>
      </c>
      <c r="X75" s="330">
        <f>(N75+S75)/(AVERAGE((F74+R74),(F75+R75)))</f>
        <v>0.13301516106163641</v>
      </c>
      <c r="Y75" s="330">
        <v>0.23469999999999999</v>
      </c>
    </row>
    <row r="76" spans="2:25" x14ac:dyDescent="0.3">
      <c r="B76" s="309" t="s">
        <v>36</v>
      </c>
      <c r="C76" s="310">
        <v>2004</v>
      </c>
      <c r="D76" s="311">
        <v>1340386</v>
      </c>
      <c r="E76" s="312">
        <v>0.94220000000000004</v>
      </c>
      <c r="F76" s="313">
        <f t="shared" si="46"/>
        <v>1262911.6892000001</v>
      </c>
      <c r="G76" s="313">
        <v>13167413</v>
      </c>
      <c r="H76" s="311">
        <v>152069</v>
      </c>
      <c r="I76" s="311">
        <f t="shared" si="66"/>
        <v>143279.4118</v>
      </c>
      <c r="J76" s="311">
        <f t="shared" si="67"/>
        <v>41554</v>
      </c>
      <c r="K76" s="311">
        <v>20925</v>
      </c>
      <c r="L76" s="314">
        <f t="shared" ref="L76:L87" si="70">K76-J76</f>
        <v>-20629</v>
      </c>
      <c r="M76" s="314">
        <f t="shared" si="65"/>
        <v>131440</v>
      </c>
      <c r="N76" s="311">
        <f t="shared" si="68"/>
        <v>123842.76800000001</v>
      </c>
      <c r="O76" s="314">
        <v>49662.419800000003</v>
      </c>
      <c r="P76" s="314">
        <v>0</v>
      </c>
      <c r="Q76" s="314">
        <f t="shared" si="69"/>
        <v>49662.419800000003</v>
      </c>
      <c r="R76" s="311">
        <v>0</v>
      </c>
      <c r="S76" s="314">
        <v>0</v>
      </c>
      <c r="T76" s="315"/>
      <c r="U76" s="329">
        <f t="shared" ref="U76:U89" si="71">I76/(AVERAGE(F75:F76))</f>
        <v>0.11452846040035894</v>
      </c>
      <c r="V76" s="330">
        <f t="shared" ref="V76:V89" si="72">N76/(AVERAGE(F75:F76))</f>
        <v>9.8992042000823177E-2</v>
      </c>
      <c r="W76" s="330">
        <f t="shared" ref="W76:W89" si="73">(I76+S76)/(AVERAGE((F75+R75),(F76+R76)))</f>
        <v>0.11452846040035894</v>
      </c>
      <c r="X76" s="330">
        <f t="shared" ref="X76:X89" si="74">(N76+S76)/(AVERAGE((F75+R75),(F76+R76)))</f>
        <v>9.8992042000823177E-2</v>
      </c>
      <c r="Y76" s="330">
        <v>0.1638</v>
      </c>
    </row>
    <row r="77" spans="2:25" x14ac:dyDescent="0.3">
      <c r="B77" s="309" t="s">
        <v>36</v>
      </c>
      <c r="C77" s="310">
        <v>2005</v>
      </c>
      <c r="D77" s="311">
        <v>1380795</v>
      </c>
      <c r="E77" s="312">
        <v>0.94220000000000004</v>
      </c>
      <c r="F77" s="313">
        <f t="shared" si="46"/>
        <v>1300985.0490000001</v>
      </c>
      <c r="G77" s="313">
        <v>12591082</v>
      </c>
      <c r="H77" s="311">
        <v>157386</v>
      </c>
      <c r="I77" s="311">
        <f t="shared" si="66"/>
        <v>148289.08920000002</v>
      </c>
      <c r="J77" s="311">
        <f t="shared" si="67"/>
        <v>20925</v>
      </c>
      <c r="K77" s="311">
        <v>30371</v>
      </c>
      <c r="L77" s="314">
        <f t="shared" si="70"/>
        <v>9446</v>
      </c>
      <c r="M77" s="314">
        <f t="shared" si="65"/>
        <v>166832</v>
      </c>
      <c r="N77" s="311">
        <f t="shared" si="68"/>
        <v>157189.11040000001</v>
      </c>
      <c r="O77" s="314">
        <f>(((0.0323630829/1000)*465952800540)+((0.035599391171/1000)*353731907693))/1000</f>
        <v>27672.309662990356</v>
      </c>
      <c r="P77" s="314">
        <v>0</v>
      </c>
      <c r="Q77" s="314">
        <f t="shared" si="69"/>
        <v>27672.309662990356</v>
      </c>
      <c r="R77" s="311">
        <v>0</v>
      </c>
      <c r="S77" s="314">
        <v>0</v>
      </c>
      <c r="T77" s="315"/>
      <c r="U77" s="329">
        <f t="shared" si="71"/>
        <v>0.1156747750333403</v>
      </c>
      <c r="V77" s="330">
        <f t="shared" si="72"/>
        <v>0.12261734886433499</v>
      </c>
      <c r="W77" s="330">
        <f t="shared" si="73"/>
        <v>0.1156747750333403</v>
      </c>
      <c r="X77" s="330">
        <f t="shared" si="74"/>
        <v>0.12261734886433499</v>
      </c>
      <c r="Y77" s="330">
        <v>0.1913</v>
      </c>
    </row>
    <row r="78" spans="2:25" x14ac:dyDescent="0.3">
      <c r="B78" s="309" t="s">
        <v>36</v>
      </c>
      <c r="C78" s="310">
        <v>2006</v>
      </c>
      <c r="D78" s="311">
        <v>1502348</v>
      </c>
      <c r="E78" s="312">
        <v>0.94220000000000004</v>
      </c>
      <c r="F78" s="313">
        <f t="shared" si="46"/>
        <v>1415512.2856000001</v>
      </c>
      <c r="G78" s="313">
        <v>12477424</v>
      </c>
      <c r="H78" s="311">
        <v>202734</v>
      </c>
      <c r="I78" s="311">
        <f t="shared" si="66"/>
        <v>191015.9748</v>
      </c>
      <c r="J78" s="311">
        <f t="shared" si="67"/>
        <v>30371</v>
      </c>
      <c r="K78" s="311">
        <v>68571</v>
      </c>
      <c r="L78" s="314">
        <f t="shared" si="70"/>
        <v>38200</v>
      </c>
      <c r="M78" s="314">
        <f t="shared" si="65"/>
        <v>240934</v>
      </c>
      <c r="N78" s="311">
        <f t="shared" si="68"/>
        <v>227008.0148</v>
      </c>
      <c r="O78" s="314">
        <v>13355.685000000001</v>
      </c>
      <c r="P78" s="314">
        <v>75702.001199999999</v>
      </c>
      <c r="Q78" s="314">
        <f t="shared" si="69"/>
        <v>89057.686199999996</v>
      </c>
      <c r="R78" s="311">
        <v>0</v>
      </c>
      <c r="S78" s="314">
        <v>0</v>
      </c>
      <c r="T78" s="315"/>
      <c r="U78" s="329">
        <f t="shared" si="71"/>
        <v>0.14063402335576139</v>
      </c>
      <c r="V78" s="330">
        <f t="shared" si="72"/>
        <v>0.167132882413394</v>
      </c>
      <c r="W78" s="330">
        <f t="shared" si="73"/>
        <v>0.14063402335576139</v>
      </c>
      <c r="X78" s="330">
        <f t="shared" si="74"/>
        <v>0.167132882413394</v>
      </c>
      <c r="Y78" s="330">
        <v>0.14910000000000001</v>
      </c>
    </row>
    <row r="79" spans="2:25" x14ac:dyDescent="0.3">
      <c r="B79" s="309" t="s">
        <v>36</v>
      </c>
      <c r="C79" s="310">
        <v>2007</v>
      </c>
      <c r="D79" s="311">
        <v>1602499</v>
      </c>
      <c r="E79" s="312">
        <v>0.94210000000000005</v>
      </c>
      <c r="F79" s="313">
        <f t="shared" si="46"/>
        <v>1509714.3079000001</v>
      </c>
      <c r="G79" s="313">
        <v>14143065</v>
      </c>
      <c r="H79" s="311">
        <v>219744</v>
      </c>
      <c r="I79" s="311">
        <f t="shared" si="66"/>
        <v>207020.8224</v>
      </c>
      <c r="J79" s="311">
        <f t="shared" si="67"/>
        <v>68571</v>
      </c>
      <c r="K79" s="311">
        <v>64455</v>
      </c>
      <c r="L79" s="314">
        <f t="shared" si="70"/>
        <v>-4116</v>
      </c>
      <c r="M79" s="314">
        <f t="shared" si="65"/>
        <v>215628</v>
      </c>
      <c r="N79" s="311">
        <f t="shared" si="68"/>
        <v>203143.13880000002</v>
      </c>
      <c r="O79" s="314">
        <v>20508.5749</v>
      </c>
      <c r="P79" s="314">
        <v>88557.400000000009</v>
      </c>
      <c r="Q79" s="314">
        <f t="shared" si="69"/>
        <v>109065.9749</v>
      </c>
      <c r="R79" s="311">
        <v>0</v>
      </c>
      <c r="S79" s="314">
        <v>0</v>
      </c>
      <c r="T79" s="315"/>
      <c r="U79" s="329">
        <f t="shared" si="71"/>
        <v>0.14154173414121873</v>
      </c>
      <c r="V79" s="330">
        <f t="shared" si="72"/>
        <v>0.13889053193444514</v>
      </c>
      <c r="W79" s="330">
        <f t="shared" si="73"/>
        <v>0.14154173414121873</v>
      </c>
      <c r="X79" s="330">
        <f t="shared" si="74"/>
        <v>0.13889053193444514</v>
      </c>
      <c r="Y79" s="330">
        <v>0.12039999999999999</v>
      </c>
    </row>
    <row r="80" spans="2:25" x14ac:dyDescent="0.3">
      <c r="B80" s="309" t="s">
        <v>36</v>
      </c>
      <c r="C80" s="310">
        <v>2008</v>
      </c>
      <c r="D80" s="311">
        <v>1797519</v>
      </c>
      <c r="E80" s="312">
        <v>0.94210000000000005</v>
      </c>
      <c r="F80" s="313">
        <f t="shared" si="46"/>
        <v>1693442.6499000001</v>
      </c>
      <c r="G80" s="313">
        <v>16177235</v>
      </c>
      <c r="H80" s="311">
        <v>421029</v>
      </c>
      <c r="I80" s="311">
        <f t="shared" si="66"/>
        <v>396651.42090000003</v>
      </c>
      <c r="J80" s="311">
        <f t="shared" si="67"/>
        <v>64455</v>
      </c>
      <c r="K80" s="311">
        <v>61228</v>
      </c>
      <c r="L80" s="314">
        <f t="shared" si="70"/>
        <v>-3227</v>
      </c>
      <c r="M80" s="314">
        <f t="shared" si="65"/>
        <v>417802</v>
      </c>
      <c r="N80" s="311">
        <f t="shared" si="68"/>
        <v>393611.26420000003</v>
      </c>
      <c r="O80" s="314">
        <v>113330.8616</v>
      </c>
      <c r="P80" s="314">
        <v>94408.783100000001</v>
      </c>
      <c r="Q80" s="314">
        <f t="shared" si="69"/>
        <v>207739.6447</v>
      </c>
      <c r="R80" s="311">
        <v>0</v>
      </c>
      <c r="S80" s="314">
        <v>0</v>
      </c>
      <c r="T80" s="315"/>
      <c r="U80" s="329">
        <f t="shared" si="71"/>
        <v>0.24766280649102448</v>
      </c>
      <c r="V80" s="330">
        <f t="shared" si="72"/>
        <v>0.2457645812463346</v>
      </c>
      <c r="W80" s="330">
        <f t="shared" si="73"/>
        <v>0.24766280649102448</v>
      </c>
      <c r="X80" s="330">
        <f t="shared" si="74"/>
        <v>0.2457645812463346</v>
      </c>
      <c r="Y80" s="330">
        <v>0.1245</v>
      </c>
    </row>
    <row r="81" spans="2:25" x14ac:dyDescent="0.3">
      <c r="B81" s="309" t="s">
        <v>36</v>
      </c>
      <c r="C81" s="310">
        <v>2009</v>
      </c>
      <c r="D81" s="311">
        <v>2072725</v>
      </c>
      <c r="E81" s="312">
        <v>0.94210000000000005</v>
      </c>
      <c r="F81" s="313">
        <f t="shared" si="46"/>
        <v>1952714.2225000001</v>
      </c>
      <c r="G81" s="313">
        <v>19154466</v>
      </c>
      <c r="H81" s="311">
        <v>459012</v>
      </c>
      <c r="I81" s="311">
        <f t="shared" si="66"/>
        <v>432435.20520000003</v>
      </c>
      <c r="J81" s="311">
        <f t="shared" si="67"/>
        <v>61228</v>
      </c>
      <c r="K81" s="311">
        <v>118130</v>
      </c>
      <c r="L81" s="314">
        <f t="shared" si="70"/>
        <v>56902</v>
      </c>
      <c r="M81" s="314">
        <f t="shared" si="65"/>
        <v>515914</v>
      </c>
      <c r="N81" s="311">
        <f t="shared" si="68"/>
        <v>486042.57940000005</v>
      </c>
      <c r="O81" s="314">
        <v>122893.17660000001</v>
      </c>
      <c r="P81" s="314">
        <v>103631</v>
      </c>
      <c r="Q81" s="314">
        <f t="shared" si="69"/>
        <v>226524.17660000001</v>
      </c>
      <c r="R81" s="311">
        <v>0</v>
      </c>
      <c r="S81" s="314">
        <v>0</v>
      </c>
      <c r="T81" s="315"/>
      <c r="U81" s="329">
        <f t="shared" si="71"/>
        <v>0.23720054859590248</v>
      </c>
      <c r="V81" s="330">
        <f t="shared" si="72"/>
        <v>0.2666054129920491</v>
      </c>
      <c r="W81" s="330">
        <f t="shared" si="73"/>
        <v>0.23720054859590248</v>
      </c>
      <c r="X81" s="330">
        <f t="shared" si="74"/>
        <v>0.2666054129920491</v>
      </c>
      <c r="Y81" s="330">
        <v>0.1013</v>
      </c>
    </row>
    <row r="82" spans="2:25" x14ac:dyDescent="0.3">
      <c r="B82" s="309" t="s">
        <v>36</v>
      </c>
      <c r="C82" s="310">
        <v>2010</v>
      </c>
      <c r="D82" s="311">
        <v>2177338</v>
      </c>
      <c r="E82" s="312">
        <v>0.94210000000000005</v>
      </c>
      <c r="F82" s="313">
        <f t="shared" si="46"/>
        <v>2051270.1298</v>
      </c>
      <c r="G82" s="313">
        <v>23783716</v>
      </c>
      <c r="H82" s="311">
        <v>313590</v>
      </c>
      <c r="I82" s="311">
        <f t="shared" si="66"/>
        <v>295433.13900000002</v>
      </c>
      <c r="J82" s="311">
        <f t="shared" si="67"/>
        <v>118130</v>
      </c>
      <c r="K82" s="311">
        <v>50130</v>
      </c>
      <c r="L82" s="314">
        <f t="shared" si="70"/>
        <v>-68000</v>
      </c>
      <c r="M82" s="314">
        <f t="shared" si="65"/>
        <v>245590</v>
      </c>
      <c r="N82" s="311">
        <f t="shared" si="68"/>
        <v>231370.33900000001</v>
      </c>
      <c r="O82" s="314">
        <v>80559.913100000005</v>
      </c>
      <c r="P82" s="314">
        <v>113994.1</v>
      </c>
      <c r="Q82" s="314">
        <f t="shared" si="69"/>
        <v>194554.01310000001</v>
      </c>
      <c r="R82" s="311">
        <v>1004166</v>
      </c>
      <c r="S82" s="314">
        <f>'Remuneração da Dívida'!K107</f>
        <v>4166</v>
      </c>
      <c r="T82" s="315"/>
      <c r="U82" s="329">
        <f t="shared" si="71"/>
        <v>0.14756957720391439</v>
      </c>
      <c r="V82" s="330">
        <f t="shared" si="72"/>
        <v>0.11557005154982408</v>
      </c>
      <c r="W82" s="330">
        <f t="shared" si="73"/>
        <v>0.11964462642876074</v>
      </c>
      <c r="X82" s="330">
        <f t="shared" si="74"/>
        <v>9.4061209201448837E-2</v>
      </c>
      <c r="Y82" s="330">
        <v>9.9000000000000005E-2</v>
      </c>
    </row>
    <row r="83" spans="2:25" x14ac:dyDescent="0.3">
      <c r="B83" s="309" t="s">
        <v>36</v>
      </c>
      <c r="C83" s="310">
        <v>2011</v>
      </c>
      <c r="D83" s="311">
        <v>2329499</v>
      </c>
      <c r="E83" s="312">
        <v>0.94210000000000005</v>
      </c>
      <c r="F83" s="313">
        <f t="shared" si="46"/>
        <v>2194621.0079000001</v>
      </c>
      <c r="G83" s="313">
        <v>26435588</v>
      </c>
      <c r="H83" s="311">
        <v>314799</v>
      </c>
      <c r="I83" s="311">
        <f t="shared" si="66"/>
        <v>296572.13790000003</v>
      </c>
      <c r="J83" s="311">
        <f t="shared" si="67"/>
        <v>50130</v>
      </c>
      <c r="K83" s="311">
        <v>50149</v>
      </c>
      <c r="L83" s="314">
        <f t="shared" si="70"/>
        <v>19</v>
      </c>
      <c r="M83" s="314">
        <f>H83+L83</f>
        <v>314818</v>
      </c>
      <c r="N83" s="311">
        <f t="shared" si="68"/>
        <v>296590.03779999999</v>
      </c>
      <c r="O83" s="314">
        <v>90158.97</v>
      </c>
      <c r="P83" s="314">
        <v>69268.844599999997</v>
      </c>
      <c r="Q83" s="314">
        <f t="shared" si="69"/>
        <v>159427.81459999998</v>
      </c>
      <c r="R83" s="311">
        <v>1137872</v>
      </c>
      <c r="S83" s="314">
        <f>'Remuneração da Dívida'!K108</f>
        <v>130255.39268999999</v>
      </c>
      <c r="T83" s="315"/>
      <c r="U83" s="329">
        <f t="shared" si="71"/>
        <v>0.1396984182032765</v>
      </c>
      <c r="V83" s="330">
        <f t="shared" si="72"/>
        <v>0.13970684983725837</v>
      </c>
      <c r="W83" s="330">
        <f t="shared" si="73"/>
        <v>0.13363564979798162</v>
      </c>
      <c r="X83" s="330">
        <f t="shared" si="74"/>
        <v>0.1336412540868252</v>
      </c>
      <c r="Y83" s="330">
        <v>0.1176</v>
      </c>
    </row>
    <row r="84" spans="2:25" x14ac:dyDescent="0.3">
      <c r="B84" s="309" t="s">
        <v>36</v>
      </c>
      <c r="C84" s="310">
        <v>2012</v>
      </c>
      <c r="D84" s="311">
        <v>2683751</v>
      </c>
      <c r="E84" s="312">
        <v>0.94210000000000005</v>
      </c>
      <c r="F84" s="313">
        <f t="shared" si="46"/>
        <v>2528361.8171000001</v>
      </c>
      <c r="G84" s="313">
        <v>31888888</v>
      </c>
      <c r="H84" s="311">
        <v>820492</v>
      </c>
      <c r="I84" s="311">
        <f t="shared" si="66"/>
        <v>772985.51320000004</v>
      </c>
      <c r="J84" s="311">
        <v>0</v>
      </c>
      <c r="K84" s="311">
        <v>0</v>
      </c>
      <c r="L84" s="314">
        <v>0</v>
      </c>
      <c r="M84" s="314">
        <v>554245</v>
      </c>
      <c r="N84" s="311">
        <f t="shared" si="68"/>
        <v>522154.2145</v>
      </c>
      <c r="O84" s="314">
        <v>55007.334800000004</v>
      </c>
      <c r="P84" s="314">
        <v>124614.39330000001</v>
      </c>
      <c r="Q84" s="314">
        <f t="shared" si="69"/>
        <v>179621.72810000001</v>
      </c>
      <c r="R84" s="311">
        <v>1202392</v>
      </c>
      <c r="S84" s="314">
        <f>'Remuneração da Dívida'!K109</f>
        <v>140089.11128000001</v>
      </c>
      <c r="T84" s="315"/>
      <c r="U84" s="329">
        <f t="shared" si="71"/>
        <v>0.32732937715055105</v>
      </c>
      <c r="V84" s="330">
        <f t="shared" si="72"/>
        <v>0.2211120530593926</v>
      </c>
      <c r="W84" s="330">
        <f t="shared" si="73"/>
        <v>0.25854246555513793</v>
      </c>
      <c r="X84" s="330">
        <f t="shared" si="74"/>
        <v>0.18751810383746573</v>
      </c>
      <c r="Y84" s="330">
        <v>8.6199999999999999E-2</v>
      </c>
    </row>
    <row r="85" spans="2:25" x14ac:dyDescent="0.3">
      <c r="B85" s="309" t="s">
        <v>36</v>
      </c>
      <c r="C85" s="310">
        <v>2013</v>
      </c>
      <c r="D85" s="311">
        <v>3039830</v>
      </c>
      <c r="E85" s="312">
        <v>0.85370000000000001</v>
      </c>
      <c r="F85" s="313">
        <f t="shared" si="46"/>
        <v>2595102.8710000003</v>
      </c>
      <c r="G85" s="313">
        <v>33817503</v>
      </c>
      <c r="H85" s="311">
        <v>360357</v>
      </c>
      <c r="I85" s="311">
        <f t="shared" si="66"/>
        <v>307636.7709</v>
      </c>
      <c r="J85" s="311">
        <f t="shared" si="67"/>
        <v>0</v>
      </c>
      <c r="K85" s="311">
        <v>0</v>
      </c>
      <c r="L85" s="314">
        <f t="shared" si="70"/>
        <v>0</v>
      </c>
      <c r="M85" s="314">
        <v>572998</v>
      </c>
      <c r="N85" s="311">
        <f t="shared" si="68"/>
        <v>489168.39260000002</v>
      </c>
      <c r="O85" s="314">
        <v>95768.066000000006</v>
      </c>
      <c r="P85" s="314">
        <v>100582.0803</v>
      </c>
      <c r="Q85" s="314">
        <f t="shared" si="69"/>
        <v>196350.14630000002</v>
      </c>
      <c r="R85" s="311">
        <v>1272581</v>
      </c>
      <c r="S85" s="314">
        <f>'Remuneração da Dívida'!K110</f>
        <v>141160.13331313321</v>
      </c>
      <c r="T85" s="315"/>
      <c r="U85" s="329">
        <f t="shared" si="71"/>
        <v>0.12008934954291052</v>
      </c>
      <c r="V85" s="330">
        <f t="shared" si="72"/>
        <v>0.19095218660769359</v>
      </c>
      <c r="W85" s="330">
        <f t="shared" si="73"/>
        <v>0.11812873188813514</v>
      </c>
      <c r="X85" s="330">
        <f t="shared" si="74"/>
        <v>0.16591003355868744</v>
      </c>
      <c r="Y85" s="330">
        <v>8.2899999999999988E-2</v>
      </c>
    </row>
    <row r="86" spans="2:25" x14ac:dyDescent="0.3">
      <c r="B86" s="309" t="s">
        <v>36</v>
      </c>
      <c r="C86" s="310">
        <v>2014</v>
      </c>
      <c r="D86" s="311">
        <v>3367809</v>
      </c>
      <c r="E86" s="312">
        <v>0.51</v>
      </c>
      <c r="F86" s="313">
        <f t="shared" si="46"/>
        <v>1717582.59</v>
      </c>
      <c r="G86" s="313">
        <v>38204992</v>
      </c>
      <c r="H86" s="311">
        <v>747350</v>
      </c>
      <c r="I86" s="311">
        <f t="shared" si="66"/>
        <v>381148.5</v>
      </c>
      <c r="J86" s="311">
        <f t="shared" si="67"/>
        <v>0</v>
      </c>
      <c r="K86" s="311">
        <v>0</v>
      </c>
      <c r="L86" s="314">
        <f t="shared" si="70"/>
        <v>0</v>
      </c>
      <c r="M86" s="314">
        <v>573115</v>
      </c>
      <c r="N86" s="311">
        <f t="shared" si="68"/>
        <v>292288.65000000002</v>
      </c>
      <c r="O86" s="314">
        <v>49383.81</v>
      </c>
      <c r="P86" s="314">
        <v>77801.009999999995</v>
      </c>
      <c r="Q86" s="314">
        <f t="shared" si="69"/>
        <v>127184.81999999999</v>
      </c>
      <c r="R86" s="311">
        <v>1356540</v>
      </c>
      <c r="S86" s="314">
        <f>'Remuneração da Dívida'!K111</f>
        <v>146998.54257273127</v>
      </c>
      <c r="T86" s="315"/>
      <c r="U86" s="329">
        <f t="shared" si="71"/>
        <v>0.17675692022836348</v>
      </c>
      <c r="V86" s="330">
        <f t="shared" si="72"/>
        <v>0.13554832720502916</v>
      </c>
      <c r="W86" s="330">
        <f t="shared" si="73"/>
        <v>0.15216415079847939</v>
      </c>
      <c r="X86" s="330">
        <f t="shared" si="74"/>
        <v>0.12656278881893515</v>
      </c>
      <c r="Y86" s="330">
        <v>0.1096</v>
      </c>
    </row>
    <row r="87" spans="2:25" x14ac:dyDescent="0.3">
      <c r="B87" s="309" t="s">
        <v>36</v>
      </c>
      <c r="C87" s="310">
        <v>2015</v>
      </c>
      <c r="D87" s="311">
        <v>2843186</v>
      </c>
      <c r="E87" s="312">
        <v>0.51</v>
      </c>
      <c r="F87" s="313">
        <f t="shared" si="46"/>
        <v>1450024.86</v>
      </c>
      <c r="G87" s="313">
        <v>41421935</v>
      </c>
      <c r="H87" s="311">
        <v>305723</v>
      </c>
      <c r="I87" s="311">
        <f t="shared" si="66"/>
        <v>155918.73000000001</v>
      </c>
      <c r="J87" s="311">
        <f t="shared" si="67"/>
        <v>0</v>
      </c>
      <c r="K87" s="311">
        <v>0</v>
      </c>
      <c r="L87" s="314">
        <f t="shared" si="70"/>
        <v>0</v>
      </c>
      <c r="M87" s="314">
        <v>-123872</v>
      </c>
      <c r="N87" s="311">
        <f t="shared" si="68"/>
        <v>-63174.720000000001</v>
      </c>
      <c r="O87" s="314">
        <v>0</v>
      </c>
      <c r="P87" s="314">
        <v>37418.699999999997</v>
      </c>
      <c r="Q87" s="314">
        <f t="shared" si="69"/>
        <v>37418.699999999997</v>
      </c>
      <c r="R87" s="311">
        <f>1408609+92567</f>
        <v>1501176</v>
      </c>
      <c r="S87" s="314">
        <f>'Remuneração da Dívida'!K112</f>
        <v>196612.75517510468</v>
      </c>
      <c r="T87" s="315"/>
      <c r="U87" s="329">
        <f t="shared" si="71"/>
        <v>9.8445740175285928E-2</v>
      </c>
      <c r="V87" s="330">
        <f t="shared" si="72"/>
        <v>-3.9887972861031122E-2</v>
      </c>
      <c r="W87" s="330">
        <f t="shared" si="73"/>
        <v>0.1170166176473413</v>
      </c>
      <c r="X87" s="330">
        <f t="shared" si="74"/>
        <v>4.4292405638440766E-2</v>
      </c>
      <c r="Y87" s="330">
        <v>0.13470000000000001</v>
      </c>
    </row>
    <row r="88" spans="2:25" x14ac:dyDescent="0.3">
      <c r="B88" s="309" t="s">
        <v>36</v>
      </c>
      <c r="C88" s="310">
        <v>2016</v>
      </c>
      <c r="D88" s="311">
        <v>3362495</v>
      </c>
      <c r="E88" s="312">
        <v>0.51</v>
      </c>
      <c r="F88" s="313">
        <f t="shared" si="46"/>
        <v>1714872.45</v>
      </c>
      <c r="G88" s="313">
        <v>46321128</v>
      </c>
      <c r="H88" s="311">
        <v>732071</v>
      </c>
      <c r="I88" s="311">
        <f t="shared" si="66"/>
        <v>373356.21</v>
      </c>
      <c r="J88" s="311">
        <f>K87</f>
        <v>0</v>
      </c>
      <c r="K88" s="311">
        <v>0</v>
      </c>
      <c r="L88" s="314">
        <v>0</v>
      </c>
      <c r="M88" s="314">
        <v>696118</v>
      </c>
      <c r="N88" s="311">
        <f t="shared" si="68"/>
        <v>355020.18</v>
      </c>
      <c r="O88" s="314">
        <v>0</v>
      </c>
      <c r="P88" s="314">
        <v>89274.48</v>
      </c>
      <c r="Q88" s="314">
        <f>O88+P88</f>
        <v>89274.48</v>
      </c>
      <c r="R88" s="311">
        <v>1000000</v>
      </c>
      <c r="S88" s="314">
        <v>0</v>
      </c>
      <c r="T88" s="315"/>
      <c r="U88" s="329">
        <f t="shared" si="71"/>
        <v>0.23593574983954219</v>
      </c>
      <c r="V88" s="330">
        <f t="shared" si="72"/>
        <v>0.22434862507434719</v>
      </c>
      <c r="W88" s="330">
        <f t="shared" si="73"/>
        <v>0.13178657937272611</v>
      </c>
      <c r="X88" s="330">
        <f t="shared" si="74"/>
        <v>0.12531436166681012</v>
      </c>
      <c r="Y88" s="330">
        <v>0.14180000000000001</v>
      </c>
    </row>
    <row r="89" spans="2:25" x14ac:dyDescent="0.3">
      <c r="B89" s="309" t="s">
        <v>36</v>
      </c>
      <c r="C89" s="310">
        <v>2017</v>
      </c>
      <c r="D89" s="311">
        <v>3542037</v>
      </c>
      <c r="E89" s="312">
        <v>0.51</v>
      </c>
      <c r="F89" s="313">
        <f t="shared" si="46"/>
        <v>1806438.87</v>
      </c>
      <c r="G89" s="313">
        <v>54046937</v>
      </c>
      <c r="H89" s="311">
        <v>681745</v>
      </c>
      <c r="I89" s="311">
        <f t="shared" si="66"/>
        <v>347689.95</v>
      </c>
      <c r="J89" s="311">
        <f>K88</f>
        <v>0</v>
      </c>
      <c r="K89" s="311">
        <v>0</v>
      </c>
      <c r="L89" s="314">
        <f>K89-J89</f>
        <v>0</v>
      </c>
      <c r="M89" s="314">
        <v>413671</v>
      </c>
      <c r="N89" s="311">
        <f t="shared" si="68"/>
        <v>210972.21</v>
      </c>
      <c r="O89" s="314">
        <v>0</v>
      </c>
      <c r="P89" s="314">
        <v>84157.14</v>
      </c>
      <c r="Q89" s="314">
        <f>O89+P89</f>
        <v>84157.14</v>
      </c>
      <c r="R89" s="311">
        <v>1000000</v>
      </c>
      <c r="S89" s="314">
        <v>0</v>
      </c>
      <c r="T89" s="315"/>
      <c r="U89" s="329">
        <f t="shared" si="71"/>
        <v>0.19747754083839425</v>
      </c>
      <c r="V89" s="330">
        <f t="shared" si="72"/>
        <v>0.11982593461801609</v>
      </c>
      <c r="W89" s="330">
        <f t="shared" si="73"/>
        <v>0.12594470039773087</v>
      </c>
      <c r="X89" s="330">
        <f t="shared" si="74"/>
        <v>7.6421052091661432E-2</v>
      </c>
      <c r="Y89" s="330">
        <v>0.1011</v>
      </c>
    </row>
    <row r="90" spans="2:25" x14ac:dyDescent="0.3">
      <c r="B90" s="309" t="s">
        <v>36</v>
      </c>
      <c r="C90" s="310">
        <v>2018</v>
      </c>
      <c r="D90" s="311">
        <v>4182021</v>
      </c>
      <c r="E90" s="312">
        <v>0.51</v>
      </c>
      <c r="F90" s="313">
        <f t="shared" ref="F90" si="75">D90*E90</f>
        <v>2132830.71</v>
      </c>
      <c r="G90" s="313">
        <v>58628963</v>
      </c>
      <c r="H90" s="311">
        <v>725503</v>
      </c>
      <c r="I90" s="311">
        <f t="shared" ref="I90" si="76">H90*E90</f>
        <v>370006.53</v>
      </c>
      <c r="J90" s="311">
        <f>K89</f>
        <v>0</v>
      </c>
      <c r="K90" s="311">
        <v>0</v>
      </c>
      <c r="L90" s="314">
        <f>K90-J90</f>
        <v>0</v>
      </c>
      <c r="M90" s="314">
        <v>725503</v>
      </c>
      <c r="N90" s="311">
        <f t="shared" ref="N90" si="77">M90*E90</f>
        <v>370006.53</v>
      </c>
      <c r="O90" s="314">
        <v>0</v>
      </c>
      <c r="P90" s="314">
        <f>186129*E90</f>
        <v>94925.790000000008</v>
      </c>
      <c r="Q90" s="314">
        <f>O90+P90</f>
        <v>94925.790000000008</v>
      </c>
      <c r="R90" s="311">
        <v>1000000</v>
      </c>
      <c r="S90" s="314">
        <v>0</v>
      </c>
      <c r="T90" s="315"/>
      <c r="U90" s="329">
        <f t="shared" ref="U90" si="78">I90/(AVERAGE(F89:F90))</f>
        <v>0.18785539932506981</v>
      </c>
      <c r="V90" s="330">
        <f t="shared" ref="V90" si="79">N90/(AVERAGE(F89:F90))</f>
        <v>0.18785539932506981</v>
      </c>
      <c r="W90" s="330">
        <f t="shared" ref="W90" si="80">(I90+S90)/(AVERAGE((F89+R89),(F90+R90)))</f>
        <v>0.12459664442441423</v>
      </c>
      <c r="X90" s="330">
        <f t="shared" ref="X90" si="81">(N90+S90)/(AVERAGE((F89+R89),(F90+R90)))</f>
        <v>0.12459664442441423</v>
      </c>
      <c r="Y90" s="330">
        <v>6.4000000000000001E-2</v>
      </c>
    </row>
    <row r="91" spans="2:25" x14ac:dyDescent="0.3">
      <c r="B91" s="220" t="s">
        <v>37</v>
      </c>
      <c r="C91" s="310">
        <v>2002</v>
      </c>
      <c r="D91" s="311">
        <f t="shared" ref="D91:D107" si="82">D4+D22+D40+D57+D74</f>
        <v>28566948</v>
      </c>
      <c r="E91" s="323"/>
      <c r="F91" s="311">
        <f t="shared" ref="F91:S91" si="83">F4+F22+F40+F57+F74</f>
        <v>25868119.729800001</v>
      </c>
      <c r="G91" s="311">
        <f t="shared" si="83"/>
        <v>499376466</v>
      </c>
      <c r="H91" s="311">
        <f t="shared" si="83"/>
        <v>3989758</v>
      </c>
      <c r="I91" s="311">
        <f t="shared" si="83"/>
        <v>3403402.5739999996</v>
      </c>
      <c r="J91" s="311">
        <f t="shared" si="83"/>
        <v>0</v>
      </c>
      <c r="K91" s="311">
        <f t="shared" si="83"/>
        <v>-1406577</v>
      </c>
      <c r="L91" s="311">
        <f t="shared" si="83"/>
        <v>-1406577</v>
      </c>
      <c r="M91" s="311">
        <f t="shared" si="83"/>
        <v>2583181</v>
      </c>
      <c r="N91" s="311">
        <f t="shared" si="83"/>
        <v>2312331.4535999997</v>
      </c>
      <c r="O91" s="311">
        <f t="shared" si="83"/>
        <v>671531</v>
      </c>
      <c r="P91" s="311">
        <f t="shared" si="83"/>
        <v>139970.16039999999</v>
      </c>
      <c r="Q91" s="311">
        <f t="shared" si="83"/>
        <v>811501.16040000005</v>
      </c>
      <c r="R91" s="311">
        <f t="shared" si="83"/>
        <v>0</v>
      </c>
      <c r="S91" s="311">
        <f t="shared" si="83"/>
        <v>0</v>
      </c>
      <c r="T91" s="315"/>
      <c r="U91" s="329">
        <f>I91/F91</f>
        <v>0.13156745096085548</v>
      </c>
      <c r="V91" s="330">
        <f>N91/F91</f>
        <v>8.9389235775656328E-2</v>
      </c>
      <c r="W91" s="330">
        <f>(I91+S91)/(F91+R91)</f>
        <v>0.13156745096085548</v>
      </c>
      <c r="X91" s="330">
        <f>(N91+S91)/(F91+R91)</f>
        <v>8.9389235775656328E-2</v>
      </c>
      <c r="Y91" s="330">
        <v>0.19210000000000002</v>
      </c>
    </row>
    <row r="92" spans="2:25" x14ac:dyDescent="0.3">
      <c r="B92" s="220" t="s">
        <v>37</v>
      </c>
      <c r="C92" s="310">
        <v>2003</v>
      </c>
      <c r="D92" s="311">
        <f t="shared" si="82"/>
        <v>33542097</v>
      </c>
      <c r="E92" s="323"/>
      <c r="F92" s="311">
        <f t="shared" ref="F92:S92" si="84">F5+F23+F41+F58+F75</f>
        <v>29989691.220199998</v>
      </c>
      <c r="G92" s="311">
        <f t="shared" si="84"/>
        <v>549888664</v>
      </c>
      <c r="H92" s="311">
        <f t="shared" si="84"/>
        <v>5412534</v>
      </c>
      <c r="I92" s="311">
        <f t="shared" si="84"/>
        <v>4727180.2145999996</v>
      </c>
      <c r="J92" s="311">
        <f t="shared" si="84"/>
        <v>-1406577</v>
      </c>
      <c r="K92" s="311">
        <f t="shared" si="84"/>
        <v>403920</v>
      </c>
      <c r="L92" s="311">
        <f t="shared" si="84"/>
        <v>1810497</v>
      </c>
      <c r="M92" s="311">
        <f t="shared" si="84"/>
        <v>7223031</v>
      </c>
      <c r="N92" s="311">
        <f t="shared" si="84"/>
        <v>6155523.1458000001</v>
      </c>
      <c r="O92" s="311">
        <f t="shared" si="84"/>
        <v>336827.73019999999</v>
      </c>
      <c r="P92" s="311">
        <f t="shared" si="84"/>
        <v>1414762.0444</v>
      </c>
      <c r="Q92" s="311">
        <f t="shared" si="84"/>
        <v>1751589.7746000001</v>
      </c>
      <c r="R92" s="311">
        <f t="shared" si="84"/>
        <v>0</v>
      </c>
      <c r="S92" s="311">
        <f t="shared" si="84"/>
        <v>0</v>
      </c>
      <c r="T92" s="315"/>
      <c r="U92" s="329">
        <f>I92/(AVERAGE(F91:F92))</f>
        <v>0.16925762518088794</v>
      </c>
      <c r="V92" s="330">
        <f>N92/(AVERAGE(F91:F92))</f>
        <v>0.22039972713252201</v>
      </c>
      <c r="W92" s="330">
        <f>(I92+S92)/(AVERAGE((F91+R91),(F92+R92)))</f>
        <v>0.16925762518088794</v>
      </c>
      <c r="X92" s="330">
        <f>(N92+S92)/(AVERAGE((F91+R91),(F92+R92)))</f>
        <v>0.22039972713252201</v>
      </c>
      <c r="Y92" s="330">
        <v>0.23469999999999999</v>
      </c>
    </row>
    <row r="93" spans="2:25" x14ac:dyDescent="0.3">
      <c r="B93" s="220" t="s">
        <v>37</v>
      </c>
      <c r="C93" s="310">
        <v>2004</v>
      </c>
      <c r="D93" s="311">
        <f t="shared" si="82"/>
        <v>37697967</v>
      </c>
      <c r="E93" s="323"/>
      <c r="F93" s="311">
        <f t="shared" ref="F93:S93" si="85">F6+F24+F42+F59+F76</f>
        <v>33639619.304800004</v>
      </c>
      <c r="G93" s="311">
        <f t="shared" si="85"/>
        <v>567761454</v>
      </c>
      <c r="H93" s="311">
        <f t="shared" si="85"/>
        <v>6208512</v>
      </c>
      <c r="I93" s="311">
        <f t="shared" si="85"/>
        <v>5352487.3269999996</v>
      </c>
      <c r="J93" s="311">
        <f t="shared" si="85"/>
        <v>403920</v>
      </c>
      <c r="K93" s="311">
        <f t="shared" si="85"/>
        <v>194058</v>
      </c>
      <c r="L93" s="311">
        <f t="shared" si="85"/>
        <v>-209862</v>
      </c>
      <c r="M93" s="311">
        <f t="shared" si="85"/>
        <v>5998650</v>
      </c>
      <c r="N93" s="311">
        <f t="shared" si="85"/>
        <v>5195499.3642000007</v>
      </c>
      <c r="O93" s="311">
        <f t="shared" si="85"/>
        <v>785574.41980000003</v>
      </c>
      <c r="P93" s="311">
        <f t="shared" si="85"/>
        <v>1609087.7431999999</v>
      </c>
      <c r="Q93" s="311">
        <f t="shared" si="85"/>
        <v>2394662.1629999997</v>
      </c>
      <c r="R93" s="311">
        <f t="shared" si="85"/>
        <v>0</v>
      </c>
      <c r="S93" s="311">
        <f t="shared" si="85"/>
        <v>0</v>
      </c>
      <c r="T93" s="315"/>
      <c r="U93" s="329">
        <f t="shared" ref="U93:U106" si="86">I93/(AVERAGE(F92:F93))</f>
        <v>0.16823967705565512</v>
      </c>
      <c r="V93" s="330">
        <f t="shared" ref="V93:V106" si="87">N93/(AVERAGE(F92:F93))</f>
        <v>0.16330522274506448</v>
      </c>
      <c r="W93" s="330">
        <f t="shared" ref="W93:W106" si="88">(I93+S93)/(AVERAGE((F92+R92),(F93+R93)))</f>
        <v>0.16823967705565512</v>
      </c>
      <c r="X93" s="330">
        <f t="shared" ref="X93:X106" si="89">(N93+S93)/(AVERAGE((F92+R92),(F93+R93)))</f>
        <v>0.16330522274506448</v>
      </c>
      <c r="Y93" s="330">
        <v>0.1638</v>
      </c>
    </row>
    <row r="94" spans="2:25" x14ac:dyDescent="0.3">
      <c r="B94" s="220" t="s">
        <v>37</v>
      </c>
      <c r="C94" s="310">
        <v>2005</v>
      </c>
      <c r="D94" s="311">
        <f t="shared" si="82"/>
        <v>43524255</v>
      </c>
      <c r="E94" s="323"/>
      <c r="F94" s="311">
        <f t="shared" ref="F94:S94" si="90">F7+F25+F43+F60+F77</f>
        <v>38693129.942999996</v>
      </c>
      <c r="G94" s="311">
        <f t="shared" si="90"/>
        <v>633652561</v>
      </c>
      <c r="H94" s="311">
        <f t="shared" si="90"/>
        <v>9638918</v>
      </c>
      <c r="I94" s="311">
        <f t="shared" si="90"/>
        <v>8463191.4411999993</v>
      </c>
      <c r="J94" s="311">
        <f t="shared" si="90"/>
        <v>194058</v>
      </c>
      <c r="K94" s="311">
        <f t="shared" si="90"/>
        <v>236767</v>
      </c>
      <c r="L94" s="311">
        <f t="shared" si="90"/>
        <v>42709</v>
      </c>
      <c r="M94" s="311">
        <f t="shared" si="90"/>
        <v>9681627</v>
      </c>
      <c r="N94" s="311">
        <f t="shared" si="90"/>
        <v>8480986.0443999991</v>
      </c>
      <c r="O94" s="311">
        <f t="shared" si="90"/>
        <v>850773.57807750476</v>
      </c>
      <c r="P94" s="311">
        <f t="shared" si="90"/>
        <v>2464902.4327854859</v>
      </c>
      <c r="Q94" s="311">
        <f t="shared" si="90"/>
        <v>3315676.0108629903</v>
      </c>
      <c r="R94" s="311">
        <f t="shared" si="90"/>
        <v>0</v>
      </c>
      <c r="S94" s="311">
        <f t="shared" si="90"/>
        <v>0</v>
      </c>
      <c r="T94" s="315"/>
      <c r="U94" s="329">
        <f t="shared" si="86"/>
        <v>0.23400718289322892</v>
      </c>
      <c r="V94" s="330">
        <f t="shared" si="87"/>
        <v>0.23449920354459497</v>
      </c>
      <c r="W94" s="330">
        <f t="shared" si="88"/>
        <v>0.23400718289322892</v>
      </c>
      <c r="X94" s="330">
        <f t="shared" si="89"/>
        <v>0.23449920354459497</v>
      </c>
      <c r="Y94" s="330">
        <v>0.1913</v>
      </c>
    </row>
    <row r="95" spans="2:25" x14ac:dyDescent="0.3">
      <c r="B95" s="220" t="s">
        <v>37</v>
      </c>
      <c r="C95" s="310">
        <v>2006</v>
      </c>
      <c r="D95" s="311">
        <f t="shared" si="82"/>
        <v>52233996</v>
      </c>
      <c r="E95" s="323"/>
      <c r="F95" s="311">
        <f t="shared" ref="F95:S95" si="91">F8+F26+F44+F61+F78</f>
        <v>45597185.041600004</v>
      </c>
      <c r="G95" s="311">
        <f t="shared" si="91"/>
        <v>711000470</v>
      </c>
      <c r="H95" s="311">
        <f t="shared" si="91"/>
        <v>15131147</v>
      </c>
      <c r="I95" s="311">
        <f t="shared" si="91"/>
        <v>13222544.9068</v>
      </c>
      <c r="J95" s="311">
        <f t="shared" si="91"/>
        <v>236767</v>
      </c>
      <c r="K95" s="311">
        <f t="shared" si="91"/>
        <v>557991</v>
      </c>
      <c r="L95" s="311">
        <f t="shared" si="91"/>
        <v>321224</v>
      </c>
      <c r="M95" s="311">
        <f t="shared" si="91"/>
        <v>15452371</v>
      </c>
      <c r="N95" s="311">
        <f t="shared" si="91"/>
        <v>13462587.603799999</v>
      </c>
      <c r="O95" s="311">
        <f t="shared" si="91"/>
        <v>1755424.3961422842</v>
      </c>
      <c r="P95" s="311">
        <f t="shared" si="91"/>
        <v>2749158.4710577158</v>
      </c>
      <c r="Q95" s="311">
        <f t="shared" si="91"/>
        <v>4504582.8672000002</v>
      </c>
      <c r="R95" s="311">
        <f t="shared" si="91"/>
        <v>5354461</v>
      </c>
      <c r="S95" s="311">
        <f t="shared" si="91"/>
        <v>321267.65999999997</v>
      </c>
      <c r="T95" s="315"/>
      <c r="U95" s="329">
        <f t="shared" si="86"/>
        <v>0.313738177611883</v>
      </c>
      <c r="V95" s="330">
        <f t="shared" si="87"/>
        <v>0.31943379512247966</v>
      </c>
      <c r="W95" s="330">
        <f t="shared" si="88"/>
        <v>0.30216624266263276</v>
      </c>
      <c r="X95" s="330">
        <f t="shared" si="89"/>
        <v>0.30752166230339878</v>
      </c>
      <c r="Y95" s="330">
        <v>0.14910000000000001</v>
      </c>
    </row>
    <row r="96" spans="2:25" x14ac:dyDescent="0.3">
      <c r="B96" s="220" t="s">
        <v>37</v>
      </c>
      <c r="C96" s="310">
        <v>2007</v>
      </c>
      <c r="D96" s="311">
        <f t="shared" si="82"/>
        <v>63172306</v>
      </c>
      <c r="E96" s="323"/>
      <c r="F96" s="311">
        <f t="shared" ref="F96:S96" si="92">F9+F27+F45+F62+F79</f>
        <v>55672354.207899995</v>
      </c>
      <c r="G96" s="311">
        <f t="shared" si="92"/>
        <v>834240777</v>
      </c>
      <c r="H96" s="311">
        <f t="shared" si="92"/>
        <v>15281492</v>
      </c>
      <c r="I96" s="311">
        <f t="shared" si="92"/>
        <v>13730586.019400001</v>
      </c>
      <c r="J96" s="311">
        <f t="shared" si="92"/>
        <v>557991</v>
      </c>
      <c r="K96" s="311">
        <f t="shared" si="92"/>
        <v>503227</v>
      </c>
      <c r="L96" s="311">
        <f t="shared" si="92"/>
        <v>-54764</v>
      </c>
      <c r="M96" s="311">
        <f t="shared" si="92"/>
        <v>15226728</v>
      </c>
      <c r="N96" s="311">
        <f t="shared" si="92"/>
        <v>13685888.4438</v>
      </c>
      <c r="O96" s="311">
        <f t="shared" si="92"/>
        <v>1577563.179967992</v>
      </c>
      <c r="P96" s="311">
        <f t="shared" si="92"/>
        <v>2802384.0879320079</v>
      </c>
      <c r="Q96" s="311">
        <f t="shared" si="92"/>
        <v>4379947.2678999994</v>
      </c>
      <c r="R96" s="311">
        <f t="shared" si="92"/>
        <v>10924550</v>
      </c>
      <c r="S96" s="311">
        <f t="shared" si="92"/>
        <v>687268.15874999994</v>
      </c>
      <c r="T96" s="315"/>
      <c r="U96" s="329">
        <f t="shared" si="86"/>
        <v>0.27116912195229115</v>
      </c>
      <c r="V96" s="330">
        <f t="shared" si="87"/>
        <v>0.2702863772310008</v>
      </c>
      <c r="W96" s="330">
        <f t="shared" si="88"/>
        <v>0.24530892380293437</v>
      </c>
      <c r="X96" s="330">
        <f t="shared" si="89"/>
        <v>0.24454842823739778</v>
      </c>
      <c r="Y96" s="330">
        <v>0.12039999999999999</v>
      </c>
    </row>
    <row r="97" spans="2:25" x14ac:dyDescent="0.3">
      <c r="B97" s="220" t="s">
        <v>37</v>
      </c>
      <c r="C97" s="310">
        <v>2008</v>
      </c>
      <c r="D97" s="311">
        <f t="shared" si="82"/>
        <v>71591617</v>
      </c>
      <c r="E97" s="323"/>
      <c r="F97" s="311">
        <f t="shared" ref="F97:S97" si="93">F10+F28+F46+F63+F80</f>
        <v>61130674.3829</v>
      </c>
      <c r="G97" s="311">
        <f t="shared" si="93"/>
        <v>1117904611</v>
      </c>
      <c r="H97" s="311">
        <f t="shared" si="93"/>
        <v>18636077</v>
      </c>
      <c r="I97" s="311">
        <f t="shared" si="93"/>
        <v>15576821.1349</v>
      </c>
      <c r="J97" s="311">
        <f t="shared" si="93"/>
        <v>503227</v>
      </c>
      <c r="K97" s="311">
        <f t="shared" si="93"/>
        <v>408600</v>
      </c>
      <c r="L97" s="311">
        <f t="shared" si="93"/>
        <v>-94627</v>
      </c>
      <c r="M97" s="311">
        <f t="shared" si="93"/>
        <v>18541450</v>
      </c>
      <c r="N97" s="311">
        <f t="shared" si="93"/>
        <v>15534350.0902</v>
      </c>
      <c r="O97" s="311">
        <f t="shared" si="93"/>
        <v>2361312.8615999999</v>
      </c>
      <c r="P97" s="311">
        <f t="shared" si="93"/>
        <v>3150771.6801</v>
      </c>
      <c r="Q97" s="311">
        <f t="shared" si="93"/>
        <v>5512084.5416999999</v>
      </c>
      <c r="R97" s="311">
        <f t="shared" si="93"/>
        <v>11624578</v>
      </c>
      <c r="S97" s="311">
        <f t="shared" si="93"/>
        <v>704982.31574399979</v>
      </c>
      <c r="T97" s="315"/>
      <c r="U97" s="329">
        <f t="shared" si="86"/>
        <v>0.26671947333610341</v>
      </c>
      <c r="V97" s="330">
        <f t="shared" si="87"/>
        <v>0.26599224827674656</v>
      </c>
      <c r="W97" s="330">
        <f t="shared" si="88"/>
        <v>0.23367852854196763</v>
      </c>
      <c r="X97" s="330">
        <f t="shared" si="89"/>
        <v>0.23306897866862461</v>
      </c>
      <c r="Y97" s="330">
        <v>0.1245</v>
      </c>
    </row>
    <row r="98" spans="2:25" x14ac:dyDescent="0.3">
      <c r="B98" s="220" t="s">
        <v>37</v>
      </c>
      <c r="C98" s="310">
        <v>2009</v>
      </c>
      <c r="D98" s="311">
        <f t="shared" si="82"/>
        <v>80861119</v>
      </c>
      <c r="E98" s="323"/>
      <c r="F98" s="311">
        <f t="shared" ref="F98:S98" si="94">F11+F29+F47+F64+F81</f>
        <v>68138070.629999995</v>
      </c>
      <c r="G98" s="311">
        <f t="shared" si="94"/>
        <v>1463453942</v>
      </c>
      <c r="H98" s="311">
        <f t="shared" si="94"/>
        <v>20368301</v>
      </c>
      <c r="I98" s="311">
        <f t="shared" si="94"/>
        <v>16816674.514600001</v>
      </c>
      <c r="J98" s="311">
        <f t="shared" si="94"/>
        <v>408600</v>
      </c>
      <c r="K98" s="311">
        <f t="shared" si="94"/>
        <v>552271</v>
      </c>
      <c r="L98" s="311">
        <f t="shared" si="94"/>
        <v>143671</v>
      </c>
      <c r="M98" s="311">
        <f t="shared" si="94"/>
        <v>20511972</v>
      </c>
      <c r="N98" s="311">
        <f t="shared" si="94"/>
        <v>16932241.513299998</v>
      </c>
      <c r="O98" s="311">
        <f t="shared" si="94"/>
        <v>1978108.1765999999</v>
      </c>
      <c r="P98" s="311">
        <f t="shared" si="94"/>
        <v>3181401.8190000001</v>
      </c>
      <c r="Q98" s="311">
        <f t="shared" si="94"/>
        <v>5159509.9956</v>
      </c>
      <c r="R98" s="311">
        <f t="shared" si="94"/>
        <v>20155062</v>
      </c>
      <c r="S98" s="311">
        <f t="shared" si="94"/>
        <v>1094883.2125439998</v>
      </c>
      <c r="T98" s="315"/>
      <c r="U98" s="329">
        <f t="shared" si="86"/>
        <v>0.26018160094184917</v>
      </c>
      <c r="V98" s="330">
        <f t="shared" si="87"/>
        <v>0.26196961240105326</v>
      </c>
      <c r="W98" s="330">
        <f t="shared" si="88"/>
        <v>0.22243697415170335</v>
      </c>
      <c r="X98" s="330">
        <f t="shared" si="89"/>
        <v>0.22387215772949254</v>
      </c>
      <c r="Y98" s="330">
        <v>0.1013</v>
      </c>
    </row>
    <row r="99" spans="2:25" x14ac:dyDescent="0.3">
      <c r="B99" s="220" t="s">
        <v>37</v>
      </c>
      <c r="C99" s="310">
        <v>2010</v>
      </c>
      <c r="D99" s="311">
        <f t="shared" si="82"/>
        <v>135887848</v>
      </c>
      <c r="E99" s="323"/>
      <c r="F99" s="311">
        <f t="shared" ref="F99:S99" si="95">F12+F30+F48+F65+F82</f>
        <v>115172480.1768</v>
      </c>
      <c r="G99" s="311">
        <f t="shared" si="95"/>
        <v>1793051386</v>
      </c>
      <c r="H99" s="311">
        <f t="shared" si="95"/>
        <v>25836651</v>
      </c>
      <c r="I99" s="311">
        <f t="shared" si="95"/>
        <v>21050898.930999998</v>
      </c>
      <c r="J99" s="311">
        <f t="shared" si="95"/>
        <v>552271</v>
      </c>
      <c r="K99" s="311">
        <f t="shared" si="95"/>
        <v>29646819</v>
      </c>
      <c r="L99" s="311">
        <f t="shared" si="95"/>
        <v>29094548</v>
      </c>
      <c r="M99" s="311">
        <f t="shared" si="95"/>
        <v>54931199</v>
      </c>
      <c r="N99" s="311">
        <f t="shared" si="95"/>
        <v>50069094.833999999</v>
      </c>
      <c r="O99" s="311">
        <f t="shared" si="95"/>
        <v>4415603.9131000005</v>
      </c>
      <c r="P99" s="311">
        <f t="shared" si="95"/>
        <v>3975617.557</v>
      </c>
      <c r="Q99" s="311">
        <f t="shared" si="95"/>
        <v>8391221.4701000005</v>
      </c>
      <c r="R99" s="311">
        <f t="shared" si="95"/>
        <v>26571780</v>
      </c>
      <c r="S99" s="311">
        <f t="shared" si="95"/>
        <v>1235264.6599999999</v>
      </c>
      <c r="T99" s="315"/>
      <c r="U99" s="329">
        <f t="shared" si="86"/>
        <v>0.22967471144840509</v>
      </c>
      <c r="V99" s="330">
        <f t="shared" si="87"/>
        <v>0.54627619210822487</v>
      </c>
      <c r="W99" s="330">
        <f t="shared" si="88"/>
        <v>0.19376122567792561</v>
      </c>
      <c r="X99" s="330">
        <f t="shared" si="89"/>
        <v>0.44605234712504893</v>
      </c>
      <c r="Y99" s="330">
        <v>9.9000000000000005E-2</v>
      </c>
    </row>
    <row r="100" spans="2:25" x14ac:dyDescent="0.3">
      <c r="B100" s="220" t="s">
        <v>37</v>
      </c>
      <c r="C100" s="310">
        <v>2011</v>
      </c>
      <c r="D100" s="311">
        <f t="shared" si="82"/>
        <v>143253888</v>
      </c>
      <c r="E100" s="323"/>
      <c r="F100" s="311">
        <f t="shared" ref="F100:S100" si="96">F13+F31+F49+F66+F83</f>
        <v>119166754.01289999</v>
      </c>
      <c r="G100" s="311">
        <f t="shared" si="96"/>
        <v>2152577614</v>
      </c>
      <c r="H100" s="311">
        <f t="shared" si="96"/>
        <v>26749816</v>
      </c>
      <c r="I100" s="311">
        <f t="shared" si="96"/>
        <v>21769623.619899999</v>
      </c>
      <c r="J100" s="311">
        <f t="shared" si="96"/>
        <v>29646819</v>
      </c>
      <c r="K100" s="311">
        <f t="shared" si="96"/>
        <v>16047743</v>
      </c>
      <c r="L100" s="311">
        <f t="shared" si="96"/>
        <v>-13599076</v>
      </c>
      <c r="M100" s="311">
        <f t="shared" si="96"/>
        <v>13155050</v>
      </c>
      <c r="N100" s="311">
        <f t="shared" si="96"/>
        <v>8069852.4468</v>
      </c>
      <c r="O100" s="311">
        <f t="shared" si="96"/>
        <v>3098637.97</v>
      </c>
      <c r="P100" s="311">
        <f t="shared" si="96"/>
        <v>4937955.6546</v>
      </c>
      <c r="Q100" s="311">
        <f t="shared" si="96"/>
        <v>8036593.6245999997</v>
      </c>
      <c r="R100" s="311">
        <f t="shared" si="96"/>
        <v>27997776</v>
      </c>
      <c r="S100" s="311">
        <f t="shared" si="96"/>
        <v>1689751.0326899996</v>
      </c>
      <c r="T100" s="315"/>
      <c r="U100" s="329">
        <f t="shared" si="86"/>
        <v>0.18579580747692695</v>
      </c>
      <c r="V100" s="330">
        <f t="shared" si="87"/>
        <v>6.8873250991913479E-2</v>
      </c>
      <c r="W100" s="330">
        <f t="shared" si="88"/>
        <v>0.16239986770348089</v>
      </c>
      <c r="X100" s="330">
        <f t="shared" si="89"/>
        <v>6.7561831352253132E-2</v>
      </c>
      <c r="Y100" s="330">
        <v>0.1176</v>
      </c>
    </row>
    <row r="101" spans="2:25" x14ac:dyDescent="0.3">
      <c r="B101" s="220" t="s">
        <v>37</v>
      </c>
      <c r="C101" s="310">
        <v>2012</v>
      </c>
      <c r="D101" s="311">
        <f t="shared" si="82"/>
        <v>145786925</v>
      </c>
      <c r="E101" s="323"/>
      <c r="F101" s="311">
        <f t="shared" ref="F101:S101" si="97">F14+F32+F50+F67+F84</f>
        <v>118547448.2481</v>
      </c>
      <c r="G101" s="311">
        <f t="shared" si="97"/>
        <v>2442060539</v>
      </c>
      <c r="H101" s="311">
        <f t="shared" si="97"/>
        <v>27387857</v>
      </c>
      <c r="I101" s="311">
        <f t="shared" si="97"/>
        <v>22343176.9472</v>
      </c>
      <c r="J101" s="311">
        <f t="shared" si="97"/>
        <v>15997594</v>
      </c>
      <c r="K101" s="311">
        <f t="shared" si="97"/>
        <v>9390159</v>
      </c>
      <c r="L101" s="311">
        <f t="shared" si="97"/>
        <v>-6607435</v>
      </c>
      <c r="M101" s="311">
        <f t="shared" si="97"/>
        <v>20473020</v>
      </c>
      <c r="N101" s="311">
        <f t="shared" si="97"/>
        <v>15160158.045499999</v>
      </c>
      <c r="O101" s="311">
        <f t="shared" si="97"/>
        <v>7644612.3348000003</v>
      </c>
      <c r="P101" s="311">
        <f t="shared" si="97"/>
        <v>5262881.5122999996</v>
      </c>
      <c r="Q101" s="311">
        <f t="shared" si="97"/>
        <v>12907493.847100001</v>
      </c>
      <c r="R101" s="311">
        <f t="shared" si="97"/>
        <v>51234446</v>
      </c>
      <c r="S101" s="311">
        <f t="shared" si="97"/>
        <v>1852707.8561280547</v>
      </c>
      <c r="T101" s="315"/>
      <c r="U101" s="329">
        <f t="shared" si="86"/>
        <v>0.18798352588683911</v>
      </c>
      <c r="V101" s="330">
        <f t="shared" si="87"/>
        <v>0.12754945141102506</v>
      </c>
      <c r="W101" s="330">
        <f t="shared" si="88"/>
        <v>0.15268122907361251</v>
      </c>
      <c r="X101" s="330">
        <f t="shared" si="89"/>
        <v>0.10735483728075285</v>
      </c>
      <c r="Y101" s="330">
        <v>8.6199999999999999E-2</v>
      </c>
    </row>
    <row r="102" spans="2:25" x14ac:dyDescent="0.3">
      <c r="B102" s="220" t="s">
        <v>37</v>
      </c>
      <c r="C102" s="310">
        <v>2013</v>
      </c>
      <c r="D102" s="311">
        <f t="shared" si="82"/>
        <v>172889123</v>
      </c>
      <c r="E102" s="323"/>
      <c r="F102" s="311">
        <f t="shared" ref="F102:S102" si="98">F15+F33+F51+F68+F85</f>
        <v>142276285.29499999</v>
      </c>
      <c r="G102" s="311">
        <f t="shared" si="98"/>
        <v>2989433527</v>
      </c>
      <c r="H102" s="311">
        <f t="shared" si="98"/>
        <v>31174432</v>
      </c>
      <c r="I102" s="311">
        <f t="shared" si="98"/>
        <v>24544994.603899997</v>
      </c>
      <c r="J102" s="311">
        <f t="shared" si="98"/>
        <v>9390159</v>
      </c>
      <c r="K102" s="311">
        <f t="shared" si="98"/>
        <v>4613925</v>
      </c>
      <c r="L102" s="311">
        <f t="shared" si="98"/>
        <v>-4776234</v>
      </c>
      <c r="M102" s="311">
        <f t="shared" si="98"/>
        <v>26122553</v>
      </c>
      <c r="N102" s="311">
        <f t="shared" si="98"/>
        <v>19469576.626600001</v>
      </c>
      <c r="O102" s="311">
        <f t="shared" si="98"/>
        <v>6786567.0659999996</v>
      </c>
      <c r="P102" s="311">
        <f t="shared" si="98"/>
        <v>5050672.5422999999</v>
      </c>
      <c r="Q102" s="311">
        <f t="shared" si="98"/>
        <v>11837239.608299999</v>
      </c>
      <c r="R102" s="311">
        <f t="shared" si="98"/>
        <v>51981190</v>
      </c>
      <c r="S102" s="311">
        <f t="shared" si="98"/>
        <v>2705147.5197451329</v>
      </c>
      <c r="T102" s="315"/>
      <c r="U102" s="329">
        <f t="shared" si="86"/>
        <v>0.18821135845633497</v>
      </c>
      <c r="V102" s="330">
        <f t="shared" si="87"/>
        <v>0.14929298313554534</v>
      </c>
      <c r="W102" s="330">
        <f t="shared" si="88"/>
        <v>0.14970986329223868</v>
      </c>
      <c r="X102" s="330">
        <f t="shared" si="89"/>
        <v>0.12182596719786806</v>
      </c>
      <c r="Y102" s="330">
        <v>8.2899999999999988E-2</v>
      </c>
    </row>
    <row r="103" spans="2:25" x14ac:dyDescent="0.3">
      <c r="B103" s="220" t="s">
        <v>37</v>
      </c>
      <c r="C103" s="310">
        <v>2014</v>
      </c>
      <c r="D103" s="311">
        <f t="shared" si="82"/>
        <v>181402930</v>
      </c>
      <c r="E103" s="323"/>
      <c r="F103" s="311">
        <f t="shared" ref="F103:S103" si="99">F16+F34+F52+F69+F86</f>
        <v>144925756.42000002</v>
      </c>
      <c r="G103" s="311">
        <f t="shared" si="99"/>
        <v>3430011693</v>
      </c>
      <c r="H103" s="311">
        <f t="shared" si="99"/>
        <v>27861963</v>
      </c>
      <c r="I103" s="311">
        <f t="shared" si="99"/>
        <v>22755224.906000003</v>
      </c>
      <c r="J103" s="311">
        <f t="shared" si="99"/>
        <v>4613925</v>
      </c>
      <c r="K103" s="311">
        <f t="shared" si="99"/>
        <v>-19269598</v>
      </c>
      <c r="L103" s="311">
        <f t="shared" si="99"/>
        <v>-23883523</v>
      </c>
      <c r="M103" s="311">
        <f t="shared" si="99"/>
        <v>3779395</v>
      </c>
      <c r="N103" s="311">
        <f t="shared" si="99"/>
        <v>1480948.7969999998</v>
      </c>
      <c r="O103" s="311">
        <f t="shared" si="99"/>
        <v>6631898.8099999996</v>
      </c>
      <c r="P103" s="311">
        <f t="shared" si="99"/>
        <v>4561573.1030000001</v>
      </c>
      <c r="Q103" s="311">
        <f t="shared" si="99"/>
        <v>11193471.913000001</v>
      </c>
      <c r="R103" s="311">
        <f t="shared" si="99"/>
        <v>38048122</v>
      </c>
      <c r="S103" s="311">
        <f t="shared" si="99"/>
        <v>3814908.7295367303</v>
      </c>
      <c r="T103" s="315"/>
      <c r="U103" s="329">
        <f t="shared" si="86"/>
        <v>0.15846144247526456</v>
      </c>
      <c r="V103" s="330">
        <f t="shared" si="87"/>
        <v>1.0312940591624301E-2</v>
      </c>
      <c r="W103" s="330">
        <f t="shared" si="88"/>
        <v>0.14086916887407291</v>
      </c>
      <c r="X103" s="330">
        <f t="shared" si="89"/>
        <v>2.8077504557257847E-2</v>
      </c>
      <c r="Y103" s="330">
        <v>0.1096</v>
      </c>
    </row>
    <row r="104" spans="2:25" x14ac:dyDescent="0.3">
      <c r="B104" s="220" t="s">
        <v>37</v>
      </c>
      <c r="C104" s="310">
        <v>2015</v>
      </c>
      <c r="D104" s="311">
        <f t="shared" si="82"/>
        <v>180000247</v>
      </c>
      <c r="E104" s="323"/>
      <c r="F104" s="311">
        <f t="shared" ref="F104:S104" si="100">F17+F35+F53+F70+F87</f>
        <v>144053787.46700001</v>
      </c>
      <c r="G104" s="311">
        <f t="shared" si="100"/>
        <v>3477902959</v>
      </c>
      <c r="H104" s="311">
        <f t="shared" si="100"/>
        <v>28309130</v>
      </c>
      <c r="I104" s="311">
        <f t="shared" si="100"/>
        <v>22060096.329</v>
      </c>
      <c r="J104" s="311">
        <f t="shared" si="100"/>
        <v>-19269598</v>
      </c>
      <c r="K104" s="311">
        <f t="shared" si="100"/>
        <v>-35721941</v>
      </c>
      <c r="L104" s="311">
        <f t="shared" si="100"/>
        <v>-16452343</v>
      </c>
      <c r="M104" s="311">
        <f t="shared" si="100"/>
        <v>11486633</v>
      </c>
      <c r="N104" s="311">
        <f t="shared" si="100"/>
        <v>11072693.706999999</v>
      </c>
      <c r="O104" s="311">
        <f t="shared" si="100"/>
        <v>1705850</v>
      </c>
      <c r="P104" s="311">
        <f t="shared" si="100"/>
        <v>6845681.9869999997</v>
      </c>
      <c r="Q104" s="311">
        <f t="shared" si="100"/>
        <v>8551531.9869999997</v>
      </c>
      <c r="R104" s="311">
        <f t="shared" si="100"/>
        <v>47469950</v>
      </c>
      <c r="S104" s="311">
        <f t="shared" si="100"/>
        <v>3084834.2148771044</v>
      </c>
      <c r="T104" s="315"/>
      <c r="U104" s="329">
        <f t="shared" si="86"/>
        <v>0.15267583325985304</v>
      </c>
      <c r="V104" s="330">
        <f t="shared" si="87"/>
        <v>7.6633062382642322E-2</v>
      </c>
      <c r="W104" s="330">
        <f t="shared" si="88"/>
        <v>0.13428619824092161</v>
      </c>
      <c r="X104" s="330">
        <f t="shared" si="89"/>
        <v>7.5608107081509224E-2</v>
      </c>
      <c r="Y104" s="330">
        <v>0.13470000000000001</v>
      </c>
    </row>
    <row r="105" spans="2:25" x14ac:dyDescent="0.3">
      <c r="B105" s="220" t="s">
        <v>37</v>
      </c>
      <c r="C105" s="310">
        <v>2016</v>
      </c>
      <c r="D105" s="311">
        <f t="shared" si="82"/>
        <v>211325568</v>
      </c>
      <c r="E105" s="323"/>
      <c r="F105" s="311">
        <f t="shared" ref="F105:S105" si="101">F18+F36+F54+F71+F88</f>
        <v>169850965.11199999</v>
      </c>
      <c r="G105" s="311">
        <f t="shared" si="101"/>
        <v>3593460795</v>
      </c>
      <c r="H105" s="311">
        <f t="shared" si="101"/>
        <v>19424625</v>
      </c>
      <c r="I105" s="311">
        <f t="shared" si="101"/>
        <v>15398165.486000003</v>
      </c>
      <c r="J105" s="311">
        <f t="shared" si="101"/>
        <v>-35721941</v>
      </c>
      <c r="K105" s="311">
        <f t="shared" si="101"/>
        <v>-18111982</v>
      </c>
      <c r="L105" s="311">
        <f t="shared" si="101"/>
        <v>17609959</v>
      </c>
      <c r="M105" s="311">
        <f t="shared" si="101"/>
        <v>36943025</v>
      </c>
      <c r="N105" s="311">
        <f t="shared" si="101"/>
        <v>32884332.564000003</v>
      </c>
      <c r="O105" s="311">
        <f t="shared" si="101"/>
        <v>0</v>
      </c>
      <c r="P105" s="311">
        <f t="shared" si="101"/>
        <v>3606954.4559999998</v>
      </c>
      <c r="Q105" s="311">
        <f t="shared" si="101"/>
        <v>3606954.4559999998</v>
      </c>
      <c r="R105" s="311">
        <f t="shared" si="101"/>
        <v>46425973</v>
      </c>
      <c r="S105" s="311">
        <f t="shared" si="101"/>
        <v>3326453.9245999996</v>
      </c>
      <c r="T105" s="315"/>
      <c r="U105" s="329">
        <f t="shared" si="86"/>
        <v>9.8107246605798157E-2</v>
      </c>
      <c r="V105" s="330">
        <f t="shared" si="87"/>
        <v>0.20951790180828209</v>
      </c>
      <c r="W105" s="330">
        <f t="shared" si="88"/>
        <v>9.1832213784416014E-2</v>
      </c>
      <c r="X105" s="330">
        <f t="shared" si="89"/>
        <v>0.17759061549953303</v>
      </c>
      <c r="Y105" s="330">
        <v>0.14180000000000001</v>
      </c>
    </row>
    <row r="106" spans="2:25" x14ac:dyDescent="0.3">
      <c r="B106" s="220" t="s">
        <v>37</v>
      </c>
      <c r="C106" s="310">
        <v>2017</v>
      </c>
      <c r="D106" s="311">
        <f t="shared" si="82"/>
        <v>238370606</v>
      </c>
      <c r="E106" s="323"/>
      <c r="F106" s="311">
        <f t="shared" ref="F106:S107" si="102">F19+F37+F55+F72+F89</f>
        <v>189576682.70300001</v>
      </c>
      <c r="G106" s="311">
        <f t="shared" si="102"/>
        <v>3568484835</v>
      </c>
      <c r="H106" s="311">
        <f t="shared" si="102"/>
        <v>26500453</v>
      </c>
      <c r="I106" s="311">
        <f t="shared" si="102"/>
        <v>20923010.828999996</v>
      </c>
      <c r="J106" s="311">
        <f t="shared" si="102"/>
        <v>-18111982</v>
      </c>
      <c r="K106" s="311">
        <f t="shared" si="102"/>
        <v>-11719096</v>
      </c>
      <c r="L106" s="311">
        <f t="shared" si="102"/>
        <v>6392886</v>
      </c>
      <c r="M106" s="311">
        <f t="shared" si="102"/>
        <v>32505814</v>
      </c>
      <c r="N106" s="311">
        <f t="shared" si="102"/>
        <v>25298196.394000001</v>
      </c>
      <c r="O106" s="311">
        <f t="shared" si="102"/>
        <v>0</v>
      </c>
      <c r="P106" s="311">
        <f t="shared" si="102"/>
        <v>5581131.1949999994</v>
      </c>
      <c r="Q106" s="311">
        <f t="shared" si="102"/>
        <v>5581131.1949999994</v>
      </c>
      <c r="R106" s="311">
        <f t="shared" si="102"/>
        <v>46307939</v>
      </c>
      <c r="S106" s="311">
        <f t="shared" si="102"/>
        <v>3126986.1711059995</v>
      </c>
      <c r="T106" s="315"/>
      <c r="U106" s="329">
        <f t="shared" si="86"/>
        <v>0.11642404782266066</v>
      </c>
      <c r="V106" s="330">
        <f t="shared" si="87"/>
        <v>0.14076934007603759</v>
      </c>
      <c r="W106" s="330">
        <f t="shared" si="88"/>
        <v>0.10637789293696683</v>
      </c>
      <c r="X106" s="330">
        <f t="shared" si="89"/>
        <v>0.12573020394186557</v>
      </c>
      <c r="Y106" s="330">
        <v>0.1011</v>
      </c>
    </row>
    <row r="107" spans="2:25" x14ac:dyDescent="0.3">
      <c r="B107" s="220" t="s">
        <v>37</v>
      </c>
      <c r="C107" s="310">
        <v>2018</v>
      </c>
      <c r="D107" s="311">
        <f t="shared" si="82"/>
        <v>268856121</v>
      </c>
      <c r="E107" s="323"/>
      <c r="F107" s="311">
        <f>F20+F38+F56+F73+F90</f>
        <v>216337822.81200001</v>
      </c>
      <c r="G107" s="311">
        <f t="shared" si="102"/>
        <v>3547683388</v>
      </c>
      <c r="H107" s="311">
        <f>H20+H38+H56+H73+H90</f>
        <v>30762715</v>
      </c>
      <c r="I107" s="311">
        <f>I20+I38+I56+I73+I90</f>
        <v>24062312.904000003</v>
      </c>
      <c r="J107" s="311">
        <f t="shared" si="102"/>
        <v>-11719096</v>
      </c>
      <c r="K107" s="311">
        <f t="shared" si="102"/>
        <v>-2716446</v>
      </c>
      <c r="L107" s="311">
        <f t="shared" si="102"/>
        <v>9002650</v>
      </c>
      <c r="M107" s="311">
        <f t="shared" si="102"/>
        <v>39752168</v>
      </c>
      <c r="N107" s="311">
        <f t="shared" si="102"/>
        <v>34498896.252000004</v>
      </c>
      <c r="O107" s="311">
        <f t="shared" si="102"/>
        <v>0</v>
      </c>
      <c r="P107" s="311">
        <f t="shared" si="102"/>
        <v>4797451.9470000006</v>
      </c>
      <c r="Q107" s="311">
        <f t="shared" si="102"/>
        <v>4797451.9470000006</v>
      </c>
      <c r="R107" s="311">
        <f t="shared" si="102"/>
        <v>10307032</v>
      </c>
      <c r="S107" s="311">
        <f t="shared" si="102"/>
        <v>518454.77</v>
      </c>
      <c r="T107" s="315"/>
      <c r="U107" s="329">
        <f t="shared" ref="U107" si="103">I107/(AVERAGE(F106:F107))</f>
        <v>0.11855852686748006</v>
      </c>
      <c r="V107" s="330">
        <f t="shared" ref="V107" si="104">N107/(AVERAGE(F106:F107))</f>
        <v>0.16998109593659322</v>
      </c>
      <c r="W107" s="330">
        <f t="shared" ref="W107" si="105">(I107+S107)/(AVERAGE((F106+R106),(F107+R107)))</f>
        <v>0.10628843748168271</v>
      </c>
      <c r="X107" s="330">
        <f t="shared" ref="X107" si="106">(N107+S107)/(AVERAGE((F106+R106),(F107+R107)))</f>
        <v>0.15141673255440352</v>
      </c>
      <c r="Y107" s="330">
        <v>6.4000000000000001E-2</v>
      </c>
    </row>
  </sheetData>
  <conditionalFormatting sqref="L40:L45 G40:H55 J46:L55 J40:J45 M40:N55 G39:N39 O39:S55 G3:S38 G57:S72 G74:S89">
    <cfRule type="cellIs" dxfId="13" priority="12" operator="between">
      <formula>0</formula>
      <formula>-10000000000</formula>
    </cfRule>
  </conditionalFormatting>
  <conditionalFormatting sqref="K40:K45">
    <cfRule type="cellIs" dxfId="12" priority="10" operator="between">
      <formula>0</formula>
      <formula>-10000000000</formula>
    </cfRule>
  </conditionalFormatting>
  <conditionalFormatting sqref="D91:S106">
    <cfRule type="cellIs" dxfId="11" priority="9" operator="lessThanOrEqual">
      <formula>0</formula>
    </cfRule>
  </conditionalFormatting>
  <conditionalFormatting sqref="I40:I55">
    <cfRule type="cellIs" dxfId="10" priority="8" operator="between">
      <formula>0</formula>
      <formula>-10000000000</formula>
    </cfRule>
  </conditionalFormatting>
  <conditionalFormatting sqref="G56:H56 J56:O56 Q56:S56">
    <cfRule type="cellIs" dxfId="9" priority="7" operator="between">
      <formula>0</formula>
      <formula>-10000000000</formula>
    </cfRule>
  </conditionalFormatting>
  <conditionalFormatting sqref="I56">
    <cfRule type="cellIs" dxfId="8" priority="6" operator="between">
      <formula>0</formula>
      <formula>-10000000000</formula>
    </cfRule>
  </conditionalFormatting>
  <conditionalFormatting sqref="G90:Q90 S90">
    <cfRule type="cellIs" dxfId="7" priority="5" operator="between">
      <formula>0</formula>
      <formula>-10000000000</formula>
    </cfRule>
  </conditionalFormatting>
  <conditionalFormatting sqref="D107:S107">
    <cfRule type="cellIs" dxfId="6" priority="4" operator="lessThanOrEqual">
      <formula>0</formula>
    </cfRule>
  </conditionalFormatting>
  <conditionalFormatting sqref="G73:Q73 S73">
    <cfRule type="cellIs" dxfId="5" priority="3" operator="between">
      <formula>0</formula>
      <formula>-10000000000</formula>
    </cfRule>
  </conditionalFormatting>
  <conditionalFormatting sqref="R73">
    <cfRule type="cellIs" dxfId="4" priority="2" operator="between">
      <formula>0</formula>
      <formula>-10000000000</formula>
    </cfRule>
  </conditionalFormatting>
  <conditionalFormatting sqref="R90">
    <cfRule type="cellIs" dxfId="3" priority="1" operator="between">
      <formula>0</formula>
      <formula>-10000000000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C2:N117"/>
  <sheetViews>
    <sheetView showGridLines="0" topLeftCell="A28" zoomScale="70" zoomScaleNormal="70" workbookViewId="0">
      <selection activeCell="I42" sqref="I42"/>
    </sheetView>
  </sheetViews>
  <sheetFormatPr defaultRowHeight="14.4" x14ac:dyDescent="0.3"/>
  <cols>
    <col min="3" max="3" width="32" style="131" bestFit="1" customWidth="1"/>
    <col min="4" max="4" width="19.109375" style="24" bestFit="1" customWidth="1"/>
    <col min="5" max="5" width="16.88671875" style="25" bestFit="1" customWidth="1"/>
    <col min="6" max="6" width="18.6640625" style="131" bestFit="1" customWidth="1"/>
    <col min="7" max="7" width="23.109375" style="25" bestFit="1" customWidth="1"/>
    <col min="8" max="8" width="21" style="25" bestFit="1" customWidth="1"/>
    <col min="9" max="9" width="16.88671875" style="25" bestFit="1" customWidth="1"/>
    <col min="10" max="10" width="24.6640625" style="135" hidden="1" customWidth="1"/>
    <col min="11" max="11" width="20" bestFit="1" customWidth="1"/>
    <col min="12" max="12" width="61.6640625" customWidth="1"/>
    <col min="13" max="13" width="13.5546875" bestFit="1" customWidth="1"/>
  </cols>
  <sheetData>
    <row r="2" spans="3:12" x14ac:dyDescent="0.3">
      <c r="C2" s="287"/>
      <c r="F2" s="287"/>
      <c r="K2" s="324">
        <v>5.5E-2</v>
      </c>
    </row>
    <row r="3" spans="3:12" x14ac:dyDescent="0.3">
      <c r="C3" s="216" t="s">
        <v>39</v>
      </c>
      <c r="F3" s="287"/>
    </row>
    <row r="4" spans="3:12" ht="32.25" customHeight="1" x14ac:dyDescent="0.3">
      <c r="C4" s="217" t="s">
        <v>40</v>
      </c>
      <c r="D4" s="218" t="s">
        <v>41</v>
      </c>
      <c r="E4" s="219" t="s">
        <v>42</v>
      </c>
      <c r="F4" s="217" t="s">
        <v>43</v>
      </c>
      <c r="G4" s="219" t="s">
        <v>44</v>
      </c>
      <c r="H4" s="219" t="s">
        <v>45</v>
      </c>
      <c r="I4" s="219" t="s">
        <v>46</v>
      </c>
      <c r="J4" s="219" t="s">
        <v>47</v>
      </c>
      <c r="K4" s="219" t="s">
        <v>48</v>
      </c>
      <c r="L4" s="219" t="s">
        <v>49</v>
      </c>
    </row>
    <row r="5" spans="3:12" ht="14.25" customHeight="1" x14ac:dyDescent="0.3">
      <c r="C5" s="217">
        <v>2002</v>
      </c>
      <c r="D5" s="136"/>
      <c r="E5" s="137"/>
      <c r="F5" s="138"/>
      <c r="G5" s="137"/>
      <c r="H5" s="137"/>
      <c r="I5" s="137"/>
      <c r="J5" s="39"/>
      <c r="K5" s="125"/>
      <c r="L5" s="125"/>
    </row>
    <row r="6" spans="3:12" x14ac:dyDescent="0.3">
      <c r="C6" s="216">
        <v>2003</v>
      </c>
      <c r="D6" s="136"/>
      <c r="E6" s="137"/>
      <c r="F6" s="138"/>
      <c r="G6" s="137"/>
      <c r="H6" s="137"/>
      <c r="I6" s="137"/>
      <c r="J6" s="39"/>
      <c r="K6" s="125"/>
      <c r="L6" s="125"/>
    </row>
    <row r="7" spans="3:12" x14ac:dyDescent="0.3">
      <c r="C7" s="216">
        <v>2004</v>
      </c>
      <c r="D7" s="136"/>
      <c r="E7" s="137"/>
      <c r="F7" s="138"/>
      <c r="G7" s="137"/>
      <c r="H7" s="137">
        <f t="shared" ref="H7:H14" si="0">I6</f>
        <v>0</v>
      </c>
      <c r="I7" s="137"/>
      <c r="J7" s="39">
        <f t="shared" ref="J7:J14" si="1">H7-G7-I7</f>
        <v>0</v>
      </c>
      <c r="K7" s="125"/>
      <c r="L7" s="125"/>
    </row>
    <row r="8" spans="3:12" x14ac:dyDescent="0.3">
      <c r="C8" s="216">
        <v>2005</v>
      </c>
      <c r="D8" s="136"/>
      <c r="E8" s="137"/>
      <c r="F8" s="138"/>
      <c r="G8" s="137"/>
      <c r="H8" s="137">
        <f t="shared" si="0"/>
        <v>0</v>
      </c>
      <c r="I8" s="137"/>
      <c r="J8" s="39">
        <f t="shared" si="1"/>
        <v>0</v>
      </c>
      <c r="K8" s="125"/>
      <c r="L8" s="125"/>
    </row>
    <row r="9" spans="3:12" x14ac:dyDescent="0.3">
      <c r="C9" s="216">
        <v>2006</v>
      </c>
      <c r="D9" s="136"/>
      <c r="E9" s="137"/>
      <c r="F9" s="138"/>
      <c r="G9" s="137"/>
      <c r="H9" s="137">
        <f t="shared" si="0"/>
        <v>0</v>
      </c>
      <c r="I9" s="137"/>
      <c r="J9" s="39">
        <f t="shared" si="1"/>
        <v>0</v>
      </c>
      <c r="K9" s="125"/>
      <c r="L9" s="125"/>
    </row>
    <row r="10" spans="3:12" x14ac:dyDescent="0.3">
      <c r="C10" s="216">
        <v>2007</v>
      </c>
      <c r="D10" s="136"/>
      <c r="E10" s="137"/>
      <c r="F10" s="138"/>
      <c r="G10" s="137"/>
      <c r="H10" s="137">
        <f t="shared" si="0"/>
        <v>0</v>
      </c>
      <c r="I10" s="137"/>
      <c r="J10" s="39">
        <f t="shared" si="1"/>
        <v>0</v>
      </c>
      <c r="K10" s="125"/>
      <c r="L10" s="125"/>
    </row>
    <row r="11" spans="3:12" x14ac:dyDescent="0.3">
      <c r="C11" s="216">
        <v>2008</v>
      </c>
      <c r="D11" s="136"/>
      <c r="E11" s="137"/>
      <c r="F11" s="138"/>
      <c r="G11" s="137"/>
      <c r="H11" s="137">
        <f t="shared" si="0"/>
        <v>0</v>
      </c>
      <c r="I11" s="137"/>
      <c r="J11" s="39">
        <f t="shared" si="1"/>
        <v>0</v>
      </c>
      <c r="K11" s="125" t="s">
        <v>50</v>
      </c>
      <c r="L11" s="125"/>
    </row>
    <row r="12" spans="3:12" x14ac:dyDescent="0.3">
      <c r="C12" s="216">
        <v>2009</v>
      </c>
      <c r="D12" s="136"/>
      <c r="E12" s="137"/>
      <c r="F12" s="138"/>
      <c r="G12" s="137"/>
      <c r="H12" s="137">
        <f t="shared" si="0"/>
        <v>0</v>
      </c>
      <c r="I12" s="137"/>
      <c r="J12" s="39">
        <f t="shared" si="1"/>
        <v>0</v>
      </c>
      <c r="K12" s="125"/>
      <c r="L12" s="125"/>
    </row>
    <row r="13" spans="3:12" x14ac:dyDescent="0.3">
      <c r="C13" s="216">
        <v>2010</v>
      </c>
      <c r="D13" s="136"/>
      <c r="E13" s="137"/>
      <c r="F13" s="138"/>
      <c r="G13" s="137"/>
      <c r="H13" s="137">
        <f t="shared" si="0"/>
        <v>0</v>
      </c>
      <c r="I13" s="137"/>
      <c r="J13" s="39">
        <f t="shared" si="1"/>
        <v>0</v>
      </c>
      <c r="K13" s="125"/>
      <c r="L13" s="125"/>
    </row>
    <row r="14" spans="3:12" x14ac:dyDescent="0.3">
      <c r="C14" s="216">
        <v>2011</v>
      </c>
      <c r="D14" s="136"/>
      <c r="E14" s="137"/>
      <c r="F14" s="138"/>
      <c r="G14" s="137"/>
      <c r="H14" s="137">
        <f t="shared" si="0"/>
        <v>0</v>
      </c>
      <c r="I14" s="137"/>
      <c r="J14" s="39">
        <f t="shared" si="1"/>
        <v>0</v>
      </c>
      <c r="K14" s="125"/>
      <c r="L14" s="125"/>
    </row>
    <row r="15" spans="3:12" x14ac:dyDescent="0.3">
      <c r="C15" s="216">
        <v>2012</v>
      </c>
      <c r="D15" s="136">
        <v>5.5E-2</v>
      </c>
      <c r="E15" s="137">
        <v>8100000</v>
      </c>
      <c r="F15" s="138">
        <v>41153</v>
      </c>
      <c r="G15" s="137"/>
      <c r="H15" s="137">
        <f>E15</f>
        <v>8100000</v>
      </c>
      <c r="I15" s="137">
        <v>8214555</v>
      </c>
      <c r="J15" s="39">
        <f>H15-G15-I15</f>
        <v>-114555</v>
      </c>
      <c r="K15" s="129">
        <f>H15*(((1+K2)^(4/12))-1)</f>
        <v>145857.75527805401</v>
      </c>
      <c r="L15" s="125"/>
    </row>
    <row r="16" spans="3:12" x14ac:dyDescent="0.3">
      <c r="C16" s="216">
        <v>2013</v>
      </c>
      <c r="D16" s="136">
        <v>5.5E-2</v>
      </c>
      <c r="E16" s="137">
        <v>8100000</v>
      </c>
      <c r="F16" s="138">
        <v>41153</v>
      </c>
      <c r="G16" s="137"/>
      <c r="H16" s="137">
        <f>I15</f>
        <v>8214555</v>
      </c>
      <c r="I16" s="137">
        <v>8324729</v>
      </c>
      <c r="J16" s="39">
        <f>H16-G16-I16</f>
        <v>-110174</v>
      </c>
      <c r="K16" s="129">
        <f>H16*K$2</f>
        <v>451800.52500000002</v>
      </c>
      <c r="L16" s="125"/>
    </row>
    <row r="17" spans="3:12" x14ac:dyDescent="0.3">
      <c r="C17" s="216">
        <v>2014</v>
      </c>
      <c r="D17" s="136">
        <v>5.5E-2</v>
      </c>
      <c r="E17" s="137">
        <v>8100000</v>
      </c>
      <c r="F17" s="138">
        <v>41153</v>
      </c>
      <c r="G17" s="137">
        <v>8100000</v>
      </c>
      <c r="H17" s="137">
        <f>I16</f>
        <v>8324729</v>
      </c>
      <c r="I17" s="137">
        <v>149587</v>
      </c>
      <c r="J17" s="39">
        <f>H17-G17-I17</f>
        <v>75142</v>
      </c>
      <c r="K17" s="215">
        <f>H17*K$2</f>
        <v>457860.09500000003</v>
      </c>
      <c r="L17" s="152"/>
    </row>
    <row r="18" spans="3:12" ht="28.8" x14ac:dyDescent="0.3">
      <c r="C18" s="216">
        <v>2015</v>
      </c>
      <c r="D18" s="136">
        <v>5.5E-2</v>
      </c>
      <c r="E18" s="137">
        <v>8100000</v>
      </c>
      <c r="F18" s="138">
        <v>41153</v>
      </c>
      <c r="G18" s="137">
        <v>-8100000</v>
      </c>
      <c r="H18" s="137">
        <f>I17</f>
        <v>149587</v>
      </c>
      <c r="I18" s="137">
        <v>8355877</v>
      </c>
      <c r="J18" s="39">
        <f>H18-G18-I18</f>
        <v>-106290</v>
      </c>
      <c r="K18" s="154">
        <f>(H18-G18)*K$2</f>
        <v>453727.28499999997</v>
      </c>
      <c r="L18" s="152" t="s">
        <v>51</v>
      </c>
    </row>
    <row r="19" spans="3:12" x14ac:dyDescent="0.3">
      <c r="C19" s="216">
        <v>2016</v>
      </c>
      <c r="D19" s="136">
        <v>5.5E-2</v>
      </c>
      <c r="E19" s="137">
        <v>8100000</v>
      </c>
      <c r="F19" s="138">
        <v>41153</v>
      </c>
      <c r="G19" s="137"/>
      <c r="H19" s="137">
        <f t="shared" ref="H19:H20" si="2">I18</f>
        <v>8355877</v>
      </c>
      <c r="I19" s="137">
        <v>8175552</v>
      </c>
      <c r="J19" s="39">
        <f t="shared" ref="J19:J20" si="3">H19-G19-I19</f>
        <v>180325</v>
      </c>
      <c r="K19" s="129">
        <f>H19*K$2</f>
        <v>459573.23499999999</v>
      </c>
      <c r="L19" s="125"/>
    </row>
    <row r="20" spans="3:12" x14ac:dyDescent="0.3">
      <c r="C20" s="216">
        <v>2017</v>
      </c>
      <c r="D20" s="136">
        <v>5.5E-2</v>
      </c>
      <c r="E20" s="137">
        <v>8100000</v>
      </c>
      <c r="F20" s="138">
        <v>41153</v>
      </c>
      <c r="G20" s="137"/>
      <c r="H20" s="137">
        <f t="shared" si="2"/>
        <v>8175552</v>
      </c>
      <c r="I20" s="137">
        <v>8197342</v>
      </c>
      <c r="J20" s="39">
        <f t="shared" si="3"/>
        <v>-21790</v>
      </c>
      <c r="K20" s="129">
        <f>H20*K$2</f>
        <v>449655.36</v>
      </c>
      <c r="L20" s="125"/>
    </row>
    <row r="21" spans="3:12" x14ac:dyDescent="0.3">
      <c r="C21" s="216">
        <v>2018</v>
      </c>
      <c r="D21" s="136">
        <v>5.5E-2</v>
      </c>
      <c r="E21" s="137">
        <v>8100000</v>
      </c>
      <c r="F21" s="138">
        <v>41153</v>
      </c>
      <c r="G21" s="137"/>
      <c r="H21" s="137">
        <f>I20</f>
        <v>8197342</v>
      </c>
      <c r="I21" s="137">
        <v>8307033</v>
      </c>
      <c r="J21" s="39">
        <f t="shared" ref="J21" si="4">H21-G21-I21</f>
        <v>-109691</v>
      </c>
      <c r="K21" s="129">
        <f>H21*K$2</f>
        <v>450853.81</v>
      </c>
      <c r="L21" s="125"/>
    </row>
    <row r="22" spans="3:12" x14ac:dyDescent="0.3">
      <c r="C22" s="214"/>
      <c r="D22" s="208"/>
      <c r="E22" s="209"/>
      <c r="F22" s="210"/>
      <c r="G22" s="209"/>
      <c r="H22" s="209"/>
      <c r="I22" s="209"/>
      <c r="J22" s="211"/>
      <c r="K22" s="212"/>
      <c r="L22" s="213"/>
    </row>
    <row r="23" spans="3:12" x14ac:dyDescent="0.3">
      <c r="C23" s="332" t="s">
        <v>52</v>
      </c>
      <c r="D23" s="332"/>
      <c r="E23" s="332"/>
      <c r="F23" s="332"/>
      <c r="G23" s="332"/>
      <c r="H23" s="332"/>
      <c r="I23" s="332"/>
      <c r="J23" s="332"/>
      <c r="K23" s="332"/>
      <c r="L23" s="332"/>
    </row>
    <row r="24" spans="3:12" x14ac:dyDescent="0.3">
      <c r="C24" s="332"/>
      <c r="D24" s="332"/>
      <c r="E24" s="332"/>
      <c r="F24" s="332"/>
      <c r="G24" s="332"/>
      <c r="H24" s="332"/>
      <c r="I24" s="332"/>
      <c r="J24" s="332"/>
      <c r="K24" s="332"/>
      <c r="L24" s="332"/>
    </row>
    <row r="25" spans="3:12" x14ac:dyDescent="0.3">
      <c r="C25" s="332"/>
      <c r="D25" s="332"/>
      <c r="E25" s="332"/>
      <c r="F25" s="332"/>
      <c r="G25" s="332"/>
      <c r="H25" s="332"/>
      <c r="I25" s="332"/>
      <c r="J25" s="332"/>
      <c r="K25" s="332"/>
      <c r="L25" s="332"/>
    </row>
    <row r="26" spans="3:12" x14ac:dyDescent="0.3">
      <c r="C26" s="214"/>
      <c r="D26" s="208"/>
      <c r="E26" s="209"/>
      <c r="F26" s="210"/>
      <c r="G26" s="209"/>
      <c r="H26" s="209"/>
      <c r="I26" s="209"/>
      <c r="J26" s="211"/>
      <c r="K26" s="212"/>
      <c r="L26" s="213"/>
    </row>
    <row r="27" spans="3:12" x14ac:dyDescent="0.3">
      <c r="C27" s="287"/>
      <c r="F27" s="134"/>
    </row>
    <row r="28" spans="3:12" x14ac:dyDescent="0.3">
      <c r="C28" s="227" t="s">
        <v>53</v>
      </c>
      <c r="F28" s="134"/>
    </row>
    <row r="29" spans="3:12" ht="28.8" x14ac:dyDescent="0.3">
      <c r="C29" s="224" t="s">
        <v>40</v>
      </c>
      <c r="D29" s="225" t="s">
        <v>41</v>
      </c>
      <c r="E29" s="226" t="s">
        <v>42</v>
      </c>
      <c r="F29" s="224" t="s">
        <v>43</v>
      </c>
      <c r="G29" s="226" t="s">
        <v>44</v>
      </c>
      <c r="H29" s="226" t="s">
        <v>45</v>
      </c>
      <c r="I29" s="226" t="s">
        <v>46</v>
      </c>
      <c r="J29" s="226" t="s">
        <v>47</v>
      </c>
      <c r="K29" s="226" t="s">
        <v>48</v>
      </c>
      <c r="L29" s="226" t="s">
        <v>54</v>
      </c>
    </row>
    <row r="30" spans="3:12" x14ac:dyDescent="0.3">
      <c r="C30" s="224">
        <v>2002</v>
      </c>
      <c r="D30" s="136">
        <f>TJLP!E16</f>
        <v>9.874800000000003E-2</v>
      </c>
      <c r="E30" s="137"/>
      <c r="F30" s="138"/>
      <c r="G30" s="137"/>
      <c r="H30" s="137"/>
      <c r="I30" s="137"/>
      <c r="J30" s="39"/>
      <c r="K30" s="39">
        <f t="shared" ref="K30" si="5">H30*D30</f>
        <v>0</v>
      </c>
      <c r="L30" s="125"/>
    </row>
    <row r="31" spans="3:12" x14ac:dyDescent="0.3">
      <c r="C31" s="227">
        <v>2003</v>
      </c>
      <c r="D31" s="136">
        <f>TJLP!F16</f>
        <v>0.11500199999999998</v>
      </c>
      <c r="E31" s="137"/>
      <c r="F31" s="138"/>
      <c r="G31" s="137"/>
      <c r="H31" s="137"/>
      <c r="I31" s="137"/>
      <c r="J31" s="39"/>
      <c r="K31" s="39">
        <f t="shared" ref="K31:K34" si="6">H31*D31</f>
        <v>0</v>
      </c>
      <c r="L31" s="125"/>
    </row>
    <row r="32" spans="3:12" x14ac:dyDescent="0.3">
      <c r="C32" s="227">
        <v>2004</v>
      </c>
      <c r="D32" s="136">
        <f>TJLP!G16</f>
        <v>9.8123999999999989E-2</v>
      </c>
      <c r="E32" s="137"/>
      <c r="F32" s="138"/>
      <c r="G32" s="137"/>
      <c r="H32" s="137"/>
      <c r="I32" s="137"/>
      <c r="J32" s="39">
        <f t="shared" ref="J32:J39" si="7">H32-G32-I32</f>
        <v>0</v>
      </c>
      <c r="K32" s="39">
        <f t="shared" si="6"/>
        <v>0</v>
      </c>
      <c r="L32" s="125"/>
    </row>
    <row r="33" spans="3:12" x14ac:dyDescent="0.3">
      <c r="C33" s="227">
        <v>2005</v>
      </c>
      <c r="D33" s="136">
        <f>TJLP!H16</f>
        <v>9.7499999999999976E-2</v>
      </c>
      <c r="E33" s="137"/>
      <c r="F33" s="138"/>
      <c r="G33" s="137"/>
      <c r="H33" s="137"/>
      <c r="I33" s="137"/>
      <c r="J33" s="39">
        <f t="shared" si="7"/>
        <v>0</v>
      </c>
      <c r="K33" s="39">
        <f t="shared" si="6"/>
        <v>0</v>
      </c>
      <c r="L33" s="125"/>
    </row>
    <row r="34" spans="3:12" x14ac:dyDescent="0.3">
      <c r="C34" s="227">
        <v>2006</v>
      </c>
      <c r="D34" s="136">
        <f>TJLP!I16</f>
        <v>7.8750000000000001E-2</v>
      </c>
      <c r="E34" s="137"/>
      <c r="F34" s="138"/>
      <c r="G34" s="137"/>
      <c r="H34" s="137"/>
      <c r="I34" s="137"/>
      <c r="J34" s="39">
        <f t="shared" si="7"/>
        <v>0</v>
      </c>
      <c r="K34" s="39">
        <f t="shared" si="6"/>
        <v>0</v>
      </c>
      <c r="L34" s="125"/>
    </row>
    <row r="35" spans="3:12" x14ac:dyDescent="0.3">
      <c r="C35" s="227">
        <v>2007</v>
      </c>
      <c r="D35" s="136">
        <f>TJLP!J16</f>
        <v>6.3749999999999987E-2</v>
      </c>
      <c r="E35" s="137">
        <v>5200000</v>
      </c>
      <c r="F35" s="138">
        <v>39104</v>
      </c>
      <c r="G35" s="137"/>
      <c r="H35" s="137">
        <v>5200000</v>
      </c>
      <c r="I35" s="39">
        <v>5343873</v>
      </c>
      <c r="J35" s="39">
        <f t="shared" si="7"/>
        <v>-143873</v>
      </c>
      <c r="K35" s="39">
        <f>H35*D35</f>
        <v>331499.99999999994</v>
      </c>
      <c r="L35" s="125" t="s">
        <v>55</v>
      </c>
    </row>
    <row r="36" spans="3:12" x14ac:dyDescent="0.3">
      <c r="C36" s="227">
        <v>2008</v>
      </c>
      <c r="D36" s="136">
        <f>TJLP!K16</f>
        <v>6.2495999999999989E-2</v>
      </c>
      <c r="E36" s="137"/>
      <c r="F36" s="138"/>
      <c r="G36" s="137"/>
      <c r="H36" s="137">
        <f>I35</f>
        <v>5343873</v>
      </c>
      <c r="I36" s="39">
        <v>5688012</v>
      </c>
      <c r="J36" s="39">
        <f t="shared" si="7"/>
        <v>-344139</v>
      </c>
      <c r="K36" s="39">
        <f t="shared" ref="K36:K45" si="8">H36*D36</f>
        <v>333970.68700799992</v>
      </c>
      <c r="L36" s="125"/>
    </row>
    <row r="37" spans="3:12" x14ac:dyDescent="0.3">
      <c r="C37" s="227">
        <v>2009</v>
      </c>
      <c r="D37" s="136">
        <f>TJLP!L16</f>
        <v>6.124799999999999E-2</v>
      </c>
      <c r="E37" s="137">
        <v>5999999</v>
      </c>
      <c r="F37" s="138">
        <v>39904</v>
      </c>
      <c r="G37" s="137"/>
      <c r="H37" s="137">
        <f t="shared" ref="H37:H46" si="9">I36</f>
        <v>5688012</v>
      </c>
      <c r="I37" s="39">
        <v>7966846</v>
      </c>
      <c r="J37" s="39">
        <f t="shared" si="7"/>
        <v>-2278834</v>
      </c>
      <c r="K37" s="39">
        <f t="shared" si="8"/>
        <v>348379.35897599993</v>
      </c>
      <c r="L37" s="125" t="s">
        <v>56</v>
      </c>
    </row>
    <row r="38" spans="3:12" x14ac:dyDescent="0.3">
      <c r="C38" s="227">
        <v>2010</v>
      </c>
      <c r="D38" s="136">
        <f>TJLP!M16</f>
        <v>5.9999999999999991E-2</v>
      </c>
      <c r="E38" s="137">
        <v>3999599</v>
      </c>
      <c r="F38" s="138">
        <v>40269</v>
      </c>
      <c r="G38" s="137"/>
      <c r="H38" s="137">
        <f t="shared" si="9"/>
        <v>7966846</v>
      </c>
      <c r="I38" s="39">
        <v>13016149</v>
      </c>
      <c r="J38" s="39">
        <f t="shared" si="7"/>
        <v>-5049303</v>
      </c>
      <c r="K38" s="39">
        <f t="shared" si="8"/>
        <v>478010.75999999995</v>
      </c>
      <c r="L38" s="125" t="s">
        <v>56</v>
      </c>
    </row>
    <row r="39" spans="3:12" x14ac:dyDescent="0.3">
      <c r="C39" s="227">
        <v>2011</v>
      </c>
      <c r="D39" s="136">
        <f>TJLP!N16</f>
        <v>5.9999999999999991E-2</v>
      </c>
      <c r="E39" s="137"/>
      <c r="F39" s="138"/>
      <c r="G39" s="137"/>
      <c r="H39" s="137">
        <f t="shared" si="9"/>
        <v>13016149</v>
      </c>
      <c r="I39" s="39">
        <v>13884459</v>
      </c>
      <c r="J39" s="39">
        <f t="shared" si="7"/>
        <v>-868310</v>
      </c>
      <c r="K39" s="39">
        <f t="shared" si="8"/>
        <v>780968.93999999983</v>
      </c>
      <c r="L39" s="125"/>
    </row>
    <row r="40" spans="3:12" x14ac:dyDescent="0.3">
      <c r="C40" s="227">
        <v>2012</v>
      </c>
      <c r="D40" s="136">
        <f>TJLP!O16</f>
        <v>5.7498000000000021E-2</v>
      </c>
      <c r="E40" s="137">
        <v>12999998</v>
      </c>
      <c r="F40" s="138">
        <v>41183</v>
      </c>
      <c r="G40" s="137"/>
      <c r="H40" s="137">
        <f t="shared" si="9"/>
        <v>13884459</v>
      </c>
      <c r="I40" s="39">
        <v>28452993</v>
      </c>
      <c r="J40" s="39"/>
      <c r="K40" s="39">
        <f t="shared" si="8"/>
        <v>798328.62358200026</v>
      </c>
      <c r="L40" s="222" t="s">
        <v>57</v>
      </c>
    </row>
    <row r="41" spans="3:12" x14ac:dyDescent="0.3">
      <c r="C41" s="227">
        <v>2013</v>
      </c>
      <c r="D41" s="136">
        <f>TJLP!P16</f>
        <v>5.0003999999999986E-2</v>
      </c>
      <c r="E41" s="137">
        <v>8000000</v>
      </c>
      <c r="F41" s="138">
        <v>41453</v>
      </c>
      <c r="G41" s="137">
        <v>8000000</v>
      </c>
      <c r="H41" s="137">
        <f t="shared" si="9"/>
        <v>28452993</v>
      </c>
      <c r="I41" s="129">
        <v>28596515</v>
      </c>
      <c r="J41" s="39"/>
      <c r="K41" s="39">
        <f t="shared" si="8"/>
        <v>1422763.4619719996</v>
      </c>
      <c r="L41" s="222" t="s">
        <v>58</v>
      </c>
    </row>
    <row r="42" spans="3:12" x14ac:dyDescent="0.3">
      <c r="C42" s="227">
        <v>2014</v>
      </c>
      <c r="D42" s="136">
        <f>TJLP!Q16</f>
        <v>5.0003999999999986E-2</v>
      </c>
      <c r="E42" s="137"/>
      <c r="F42" s="138"/>
      <c r="G42" s="137">
        <v>28596515</v>
      </c>
      <c r="H42" s="137">
        <f t="shared" si="9"/>
        <v>28596515</v>
      </c>
      <c r="I42" s="137"/>
      <c r="J42" s="39"/>
      <c r="K42" s="39">
        <f>H42*D42</f>
        <v>1429940.1360599997</v>
      </c>
      <c r="L42" s="223"/>
    </row>
    <row r="43" spans="3:12" x14ac:dyDescent="0.3">
      <c r="C43" s="227">
        <v>2015</v>
      </c>
      <c r="D43" s="136">
        <f>TJLP!R16</f>
        <v>6.2498999999999992E-2</v>
      </c>
      <c r="E43" s="137"/>
      <c r="F43" s="138"/>
      <c r="G43" s="137"/>
      <c r="H43" s="137">
        <f t="shared" si="9"/>
        <v>0</v>
      </c>
      <c r="I43" s="137"/>
      <c r="J43" s="39"/>
      <c r="K43" s="39">
        <f t="shared" si="8"/>
        <v>0</v>
      </c>
      <c r="L43" s="223"/>
    </row>
    <row r="44" spans="3:12" x14ac:dyDescent="0.3">
      <c r="C44" s="227">
        <v>2016</v>
      </c>
      <c r="D44" s="136">
        <f>TJLP!S16</f>
        <v>7.4999999999999997E-2</v>
      </c>
      <c r="E44" s="137"/>
      <c r="F44" s="138"/>
      <c r="G44" s="137"/>
      <c r="H44" s="137">
        <f t="shared" si="9"/>
        <v>0</v>
      </c>
      <c r="I44" s="137"/>
      <c r="J44" s="39"/>
      <c r="K44" s="39">
        <f t="shared" si="8"/>
        <v>0</v>
      </c>
      <c r="L44" s="223"/>
    </row>
    <row r="45" spans="3:12" x14ac:dyDescent="0.3">
      <c r="C45" s="227">
        <v>2017</v>
      </c>
      <c r="D45" s="136">
        <f>TJLP!T16</f>
        <v>7.1246999999999991E-2</v>
      </c>
      <c r="E45" s="137"/>
      <c r="F45" s="138"/>
      <c r="G45" s="137"/>
      <c r="H45" s="137">
        <f t="shared" si="9"/>
        <v>0</v>
      </c>
      <c r="I45" s="137"/>
      <c r="J45" s="39"/>
      <c r="K45" s="39">
        <f t="shared" si="8"/>
        <v>0</v>
      </c>
      <c r="L45" s="222"/>
    </row>
    <row r="46" spans="3:12" x14ac:dyDescent="0.3">
      <c r="C46" s="227">
        <v>2018</v>
      </c>
      <c r="D46" s="136">
        <f>TJLP!U16</f>
        <v>6.9800000000000001E-2</v>
      </c>
      <c r="E46" s="137"/>
      <c r="F46" s="138"/>
      <c r="G46" s="137"/>
      <c r="H46" s="137">
        <f t="shared" si="9"/>
        <v>0</v>
      </c>
      <c r="I46" s="137"/>
      <c r="J46" s="39"/>
      <c r="K46" s="39">
        <f t="shared" ref="K46" si="10">H46*D46</f>
        <v>0</v>
      </c>
      <c r="L46" s="222"/>
    </row>
    <row r="47" spans="3:12" x14ac:dyDescent="0.3">
      <c r="C47" s="220"/>
      <c r="D47" s="208"/>
      <c r="E47" s="209"/>
      <c r="F47" s="220"/>
      <c r="G47" s="209"/>
      <c r="H47" s="209"/>
      <c r="I47" s="209"/>
      <c r="J47" s="211"/>
      <c r="K47" s="213"/>
      <c r="L47" s="221"/>
    </row>
    <row r="48" spans="3:12" x14ac:dyDescent="0.3">
      <c r="C48" s="333" t="s">
        <v>59</v>
      </c>
      <c r="D48" s="334"/>
      <c r="E48" s="334"/>
      <c r="F48" s="334"/>
      <c r="G48" s="334"/>
      <c r="H48" s="334"/>
      <c r="I48" s="334"/>
      <c r="J48" s="334"/>
      <c r="K48" s="334"/>
      <c r="L48" s="334"/>
    </row>
    <row r="49" spans="3:14" ht="46.5" customHeight="1" x14ac:dyDescent="0.3">
      <c r="C49" s="334"/>
      <c r="D49" s="334"/>
      <c r="E49" s="334"/>
      <c r="F49" s="334"/>
      <c r="G49" s="334"/>
      <c r="H49" s="334"/>
      <c r="I49" s="334"/>
      <c r="J49" s="334"/>
      <c r="K49" s="334"/>
      <c r="L49" s="334"/>
    </row>
    <row r="51" spans="3:14" x14ac:dyDescent="0.3">
      <c r="C51" s="237" t="s">
        <v>60</v>
      </c>
      <c r="F51" s="134"/>
    </row>
    <row r="52" spans="3:14" ht="28.8" x14ac:dyDescent="0.3">
      <c r="C52" s="238" t="s">
        <v>40</v>
      </c>
      <c r="D52" s="239" t="s">
        <v>41</v>
      </c>
      <c r="E52" s="240" t="s">
        <v>42</v>
      </c>
      <c r="F52" s="238" t="s">
        <v>43</v>
      </c>
      <c r="G52" s="240" t="s">
        <v>44</v>
      </c>
      <c r="H52" s="240" t="s">
        <v>45</v>
      </c>
      <c r="I52" s="240" t="s">
        <v>46</v>
      </c>
      <c r="J52" s="240" t="s">
        <v>47</v>
      </c>
      <c r="K52" s="240" t="s">
        <v>48</v>
      </c>
      <c r="L52" s="240" t="s">
        <v>54</v>
      </c>
    </row>
    <row r="53" spans="3:14" x14ac:dyDescent="0.3">
      <c r="C53" s="238">
        <v>2002</v>
      </c>
      <c r="D53" s="136">
        <f>TJLP!E16</f>
        <v>9.874800000000003E-2</v>
      </c>
      <c r="E53" s="137"/>
      <c r="F53" s="138"/>
      <c r="G53" s="137"/>
      <c r="H53" s="137"/>
      <c r="I53" s="137"/>
      <c r="J53" s="39"/>
      <c r="K53" s="39">
        <f t="shared" ref="K53" si="11">I53*D53</f>
        <v>0</v>
      </c>
      <c r="L53" s="125"/>
    </row>
    <row r="54" spans="3:14" x14ac:dyDescent="0.3">
      <c r="C54" s="237">
        <v>2003</v>
      </c>
      <c r="D54" s="136">
        <v>0.11500199999999998</v>
      </c>
      <c r="E54" s="137"/>
      <c r="F54" s="138"/>
      <c r="G54" s="137"/>
      <c r="H54" s="137"/>
      <c r="I54" s="137"/>
      <c r="J54" s="39"/>
      <c r="K54" s="39">
        <f t="shared" ref="K54:K56" si="12">I54*D54</f>
        <v>0</v>
      </c>
      <c r="L54" s="125"/>
    </row>
    <row r="55" spans="3:14" x14ac:dyDescent="0.3">
      <c r="C55" s="237">
        <v>2004</v>
      </c>
      <c r="D55" s="136">
        <v>9.8123999999999989E-2</v>
      </c>
      <c r="E55" s="137"/>
      <c r="F55" s="138"/>
      <c r="G55" s="137"/>
      <c r="H55" s="137"/>
      <c r="I55" s="137"/>
      <c r="J55" s="39">
        <f t="shared" ref="J55:J56" si="13">H55-G55-I55</f>
        <v>0</v>
      </c>
      <c r="K55" s="39">
        <f t="shared" si="12"/>
        <v>0</v>
      </c>
      <c r="L55" s="125"/>
    </row>
    <row r="56" spans="3:14" x14ac:dyDescent="0.3">
      <c r="C56" s="237">
        <v>2005</v>
      </c>
      <c r="D56" s="136">
        <v>9.7499999999999976E-2</v>
      </c>
      <c r="E56" s="137"/>
      <c r="F56" s="138"/>
      <c r="G56" s="137"/>
      <c r="H56" s="137"/>
      <c r="I56" s="137"/>
      <c r="J56" s="39">
        <f t="shared" si="13"/>
        <v>0</v>
      </c>
      <c r="K56" s="39">
        <f t="shared" si="12"/>
        <v>0</v>
      </c>
      <c r="L56" s="125"/>
    </row>
    <row r="57" spans="3:14" x14ac:dyDescent="0.3">
      <c r="C57" s="237">
        <v>2006</v>
      </c>
      <c r="D57" s="136">
        <v>0.06</v>
      </c>
      <c r="E57" s="137">
        <v>5293537</v>
      </c>
      <c r="F57" s="138">
        <v>38930</v>
      </c>
      <c r="G57" s="137"/>
      <c r="H57" s="39">
        <f>E57</f>
        <v>5293537</v>
      </c>
      <c r="I57" s="39">
        <v>5354461</v>
      </c>
      <c r="J57" s="39">
        <v>5354461</v>
      </c>
      <c r="K57" s="39">
        <f>I57*D57</f>
        <v>321267.65999999997</v>
      </c>
      <c r="L57" s="125" t="s">
        <v>61</v>
      </c>
      <c r="N57">
        <f>K57/I57</f>
        <v>0.06</v>
      </c>
    </row>
    <row r="58" spans="3:14" x14ac:dyDescent="0.3">
      <c r="C58" s="237">
        <v>2007</v>
      </c>
      <c r="D58" s="136">
        <v>6.3749999999999987E-2</v>
      </c>
      <c r="E58" s="137"/>
      <c r="F58" s="138"/>
      <c r="G58" s="137"/>
      <c r="H58" s="39">
        <f>I57</f>
        <v>5354461</v>
      </c>
      <c r="I58" s="39">
        <v>5580677</v>
      </c>
      <c r="J58" s="39">
        <v>5580677</v>
      </c>
      <c r="K58" s="39">
        <f t="shared" ref="K58:K68" si="14">I58*D58</f>
        <v>355768.15874999994</v>
      </c>
      <c r="L58" s="125"/>
      <c r="N58">
        <f t="shared" ref="N58:N69" si="15">K58/I58</f>
        <v>6.3749999999999987E-2</v>
      </c>
    </row>
    <row r="59" spans="3:14" x14ac:dyDescent="0.3">
      <c r="C59" s="237">
        <v>2008</v>
      </c>
      <c r="D59" s="136">
        <v>6.2495999999999989E-2</v>
      </c>
      <c r="E59" s="137"/>
      <c r="F59" s="138"/>
      <c r="G59" s="137"/>
      <c r="H59" s="39">
        <f t="shared" ref="H59:H68" si="16">I58</f>
        <v>5580677</v>
      </c>
      <c r="I59" s="39">
        <v>5936566</v>
      </c>
      <c r="J59" s="39">
        <v>5936566</v>
      </c>
      <c r="K59" s="39">
        <f t="shared" si="14"/>
        <v>371011.62873599993</v>
      </c>
      <c r="L59" s="125"/>
      <c r="N59">
        <f t="shared" si="15"/>
        <v>6.2495999999999989E-2</v>
      </c>
    </row>
    <row r="60" spans="3:14" x14ac:dyDescent="0.3">
      <c r="C60" s="237">
        <v>2009</v>
      </c>
      <c r="D60" s="136">
        <v>6.124799999999999E-2</v>
      </c>
      <c r="E60" s="137">
        <v>6000000</v>
      </c>
      <c r="F60" s="138">
        <v>39814</v>
      </c>
      <c r="G60" s="137"/>
      <c r="H60" s="39">
        <f t="shared" si="16"/>
        <v>5936566</v>
      </c>
      <c r="I60" s="39">
        <v>12188216</v>
      </c>
      <c r="J60" s="39">
        <v>12188216</v>
      </c>
      <c r="K60" s="39">
        <f t="shared" si="14"/>
        <v>746503.8535679999</v>
      </c>
      <c r="L60" s="125" t="s">
        <v>62</v>
      </c>
      <c r="N60">
        <f t="shared" si="15"/>
        <v>6.124799999999999E-2</v>
      </c>
    </row>
    <row r="61" spans="3:14" x14ac:dyDescent="0.3">
      <c r="C61" s="237">
        <v>2010</v>
      </c>
      <c r="D61" s="136">
        <v>5.9999999999999991E-2</v>
      </c>
      <c r="E61" s="137"/>
      <c r="F61" s="138"/>
      <c r="G61" s="137"/>
      <c r="H61" s="39">
        <f t="shared" si="16"/>
        <v>12188216</v>
      </c>
      <c r="I61" s="153">
        <v>12551465</v>
      </c>
      <c r="J61" s="153">
        <v>12551465</v>
      </c>
      <c r="K61" s="39">
        <f t="shared" si="14"/>
        <v>753087.89999999991</v>
      </c>
      <c r="L61" s="128"/>
      <c r="N61">
        <f t="shared" si="15"/>
        <v>5.9999999999999991E-2</v>
      </c>
    </row>
    <row r="62" spans="3:14" x14ac:dyDescent="0.3">
      <c r="C62" s="237">
        <v>2011</v>
      </c>
      <c r="D62" s="136">
        <v>5.9999999999999991E-2</v>
      </c>
      <c r="E62" s="137"/>
      <c r="F62" s="138"/>
      <c r="G62" s="137"/>
      <c r="H62" s="39">
        <f t="shared" si="16"/>
        <v>12551465</v>
      </c>
      <c r="I62" s="153">
        <v>12975445</v>
      </c>
      <c r="J62" s="153">
        <v>12975445</v>
      </c>
      <c r="K62" s="39">
        <f t="shared" si="14"/>
        <v>778526.69999999984</v>
      </c>
      <c r="L62" s="128"/>
      <c r="N62">
        <f t="shared" si="15"/>
        <v>5.9999999999999991E-2</v>
      </c>
    </row>
    <row r="63" spans="3:14" x14ac:dyDescent="0.3">
      <c r="C63" s="237">
        <v>2012</v>
      </c>
      <c r="D63" s="136">
        <v>5.7498000000000021E-2</v>
      </c>
      <c r="E63" s="137"/>
      <c r="F63" s="138"/>
      <c r="G63" s="137"/>
      <c r="H63" s="39">
        <f t="shared" si="16"/>
        <v>12975445</v>
      </c>
      <c r="I63" s="153">
        <v>13364506</v>
      </c>
      <c r="J63" s="153">
        <v>13364506</v>
      </c>
      <c r="K63" s="39">
        <f t="shared" si="14"/>
        <v>768432.3659880003</v>
      </c>
      <c r="L63" s="128"/>
      <c r="N63">
        <f t="shared" si="15"/>
        <v>5.7498000000000021E-2</v>
      </c>
    </row>
    <row r="64" spans="3:14" x14ac:dyDescent="0.3">
      <c r="C64" s="237">
        <v>2013</v>
      </c>
      <c r="D64" s="136">
        <v>5.0003999999999986E-2</v>
      </c>
      <c r="E64" s="137">
        <v>15000000</v>
      </c>
      <c r="F64" s="138">
        <v>41275</v>
      </c>
      <c r="G64" s="137"/>
      <c r="H64" s="39">
        <f t="shared" si="16"/>
        <v>13364506</v>
      </c>
      <c r="I64" s="153">
        <v>13787365</v>
      </c>
      <c r="J64" s="153">
        <v>13787365</v>
      </c>
      <c r="K64" s="39">
        <f t="shared" si="14"/>
        <v>689423.39945999975</v>
      </c>
      <c r="L64" s="128" t="s">
        <v>63</v>
      </c>
      <c r="N64">
        <f t="shared" si="15"/>
        <v>5.0003999999999979E-2</v>
      </c>
    </row>
    <row r="65" spans="3:14" x14ac:dyDescent="0.3">
      <c r="C65" s="237">
        <v>2014</v>
      </c>
      <c r="D65" s="136">
        <v>5.0003999999999986E-2</v>
      </c>
      <c r="E65" s="137">
        <f>8731760+6807216</f>
        <v>15538976</v>
      </c>
      <c r="F65" s="138">
        <v>41791</v>
      </c>
      <c r="G65" s="137"/>
      <c r="H65" s="39">
        <f t="shared" si="16"/>
        <v>13787365</v>
      </c>
      <c r="I65" s="153">
        <v>35538976</v>
      </c>
      <c r="J65" s="153">
        <v>35538976</v>
      </c>
      <c r="K65" s="39">
        <f t="shared" si="14"/>
        <v>1777090.9559039995</v>
      </c>
      <c r="L65" s="228" t="s">
        <v>64</v>
      </c>
      <c r="N65">
        <f t="shared" si="15"/>
        <v>5.0003999999999986E-2</v>
      </c>
    </row>
    <row r="66" spans="3:14" x14ac:dyDescent="0.3">
      <c r="C66" s="237">
        <v>2015</v>
      </c>
      <c r="D66" s="136">
        <v>6.2498999999999992E-2</v>
      </c>
      <c r="E66" s="137">
        <v>5000000</v>
      </c>
      <c r="F66" s="138">
        <v>41974</v>
      </c>
      <c r="G66" s="137"/>
      <c r="H66" s="39">
        <f t="shared" si="16"/>
        <v>35538976</v>
      </c>
      <c r="I66" s="153">
        <v>36612898</v>
      </c>
      <c r="J66" s="153">
        <v>36612898</v>
      </c>
      <c r="K66" s="39">
        <f t="shared" si="14"/>
        <v>2288269.5121019995</v>
      </c>
      <c r="L66" s="228" t="s">
        <v>65</v>
      </c>
      <c r="N66">
        <f t="shared" si="15"/>
        <v>6.2498999999999985E-2</v>
      </c>
    </row>
    <row r="67" spans="3:14" x14ac:dyDescent="0.3">
      <c r="C67" s="237">
        <v>2016</v>
      </c>
      <c r="D67" s="136">
        <v>7.4999999999999997E-2</v>
      </c>
      <c r="E67" s="137"/>
      <c r="F67" s="138"/>
      <c r="G67" s="137"/>
      <c r="H67" s="39">
        <f t="shared" si="16"/>
        <v>36612898</v>
      </c>
      <c r="I67" s="153">
        <v>36250422</v>
      </c>
      <c r="J67" s="153">
        <v>36250422</v>
      </c>
      <c r="K67" s="39">
        <f t="shared" si="14"/>
        <v>2718781.65</v>
      </c>
      <c r="L67" s="228"/>
      <c r="N67">
        <f t="shared" si="15"/>
        <v>7.4999999999999997E-2</v>
      </c>
    </row>
    <row r="68" spans="3:14" x14ac:dyDescent="0.3">
      <c r="C68" s="237">
        <v>2017</v>
      </c>
      <c r="D68" s="136">
        <v>7.1246999999999991E-2</v>
      </c>
      <c r="E68" s="137"/>
      <c r="F68" s="138"/>
      <c r="G68" s="137"/>
      <c r="H68" s="39">
        <f t="shared" si="16"/>
        <v>36250422</v>
      </c>
      <c r="I68" s="153">
        <v>36110598</v>
      </c>
      <c r="J68" s="153">
        <v>36110598</v>
      </c>
      <c r="K68" s="39">
        <f t="shared" si="14"/>
        <v>2572771.7757059997</v>
      </c>
      <c r="L68" s="128"/>
      <c r="N68">
        <f t="shared" si="15"/>
        <v>7.1246999999999991E-2</v>
      </c>
    </row>
    <row r="69" spans="3:14" x14ac:dyDescent="0.3">
      <c r="C69" s="237">
        <v>2017</v>
      </c>
      <c r="D69" s="136">
        <v>7.1246999999999991E-2</v>
      </c>
      <c r="E69" s="137"/>
      <c r="F69" s="138"/>
      <c r="G69" s="137"/>
      <c r="H69" s="39">
        <f t="shared" ref="H69" si="17">I68</f>
        <v>36110598</v>
      </c>
      <c r="I69" s="36">
        <v>36112525</v>
      </c>
      <c r="J69" s="153">
        <v>36110598</v>
      </c>
      <c r="K69" s="39">
        <f t="shared" ref="K69" si="18">I69*D69</f>
        <v>2572909.0686749998</v>
      </c>
      <c r="L69" s="128"/>
      <c r="N69">
        <f t="shared" si="15"/>
        <v>7.1246999999999991E-2</v>
      </c>
    </row>
    <row r="70" spans="3:14" x14ac:dyDescent="0.3">
      <c r="C70" s="287"/>
      <c r="F70" s="287"/>
      <c r="I70" s="156"/>
      <c r="J70" s="157"/>
      <c r="K70" s="155"/>
      <c r="L70" s="155"/>
    </row>
    <row r="71" spans="3:14" x14ac:dyDescent="0.3">
      <c r="C71" s="333" t="s">
        <v>66</v>
      </c>
      <c r="D71" s="333"/>
      <c r="E71" s="333"/>
      <c r="F71" s="333"/>
      <c r="G71" s="333"/>
      <c r="H71" s="333"/>
      <c r="I71" s="333"/>
      <c r="J71" s="333"/>
      <c r="K71" s="333"/>
      <c r="L71" s="333"/>
    </row>
    <row r="72" spans="3:14" x14ac:dyDescent="0.3">
      <c r="C72" s="333"/>
      <c r="D72" s="333"/>
      <c r="E72" s="333"/>
      <c r="F72" s="333"/>
      <c r="G72" s="333"/>
      <c r="H72" s="333"/>
      <c r="I72" s="333"/>
      <c r="J72" s="333"/>
      <c r="K72" s="333"/>
      <c r="L72" s="333"/>
    </row>
    <row r="73" spans="3:14" x14ac:dyDescent="0.3">
      <c r="C73" s="287"/>
      <c r="F73" s="287"/>
      <c r="I73" s="156"/>
      <c r="J73" s="157"/>
      <c r="K73" s="155"/>
      <c r="L73" s="155"/>
    </row>
    <row r="74" spans="3:14" x14ac:dyDescent="0.3">
      <c r="C74" s="271" t="s">
        <v>67</v>
      </c>
      <c r="F74" s="134"/>
    </row>
    <row r="75" spans="3:14" ht="28.8" x14ac:dyDescent="0.3">
      <c r="C75" s="272" t="s">
        <v>40</v>
      </c>
      <c r="D75" s="273" t="s">
        <v>41</v>
      </c>
      <c r="E75" s="274" t="s">
        <v>42</v>
      </c>
      <c r="F75" s="272" t="s">
        <v>43</v>
      </c>
      <c r="G75" s="274" t="s">
        <v>44</v>
      </c>
      <c r="H75" s="274" t="s">
        <v>68</v>
      </c>
      <c r="I75" s="274" t="s">
        <v>69</v>
      </c>
      <c r="J75" s="274" t="s">
        <v>47</v>
      </c>
      <c r="K75" s="274" t="s">
        <v>48</v>
      </c>
      <c r="L75" s="274" t="s">
        <v>54</v>
      </c>
    </row>
    <row r="76" spans="3:14" x14ac:dyDescent="0.3">
      <c r="C76" s="272">
        <v>2002</v>
      </c>
      <c r="D76" s="136"/>
      <c r="E76" s="137"/>
      <c r="F76" s="138"/>
      <c r="G76" s="137"/>
      <c r="H76" s="137"/>
      <c r="I76" s="137"/>
      <c r="J76" s="137"/>
      <c r="K76" s="137">
        <f t="shared" ref="K76:K79" si="19">I76*D76</f>
        <v>0</v>
      </c>
      <c r="L76" s="125"/>
    </row>
    <row r="77" spans="3:14" x14ac:dyDescent="0.3">
      <c r="C77" s="271">
        <v>2003</v>
      </c>
      <c r="D77" s="136"/>
      <c r="E77" s="137"/>
      <c r="F77" s="138"/>
      <c r="G77" s="137"/>
      <c r="H77" s="137"/>
      <c r="I77" s="137"/>
      <c r="J77" s="137"/>
      <c r="K77" s="137">
        <f t="shared" si="19"/>
        <v>0</v>
      </c>
      <c r="L77" s="125"/>
    </row>
    <row r="78" spans="3:14" x14ac:dyDescent="0.3">
      <c r="C78" s="271">
        <v>2004</v>
      </c>
      <c r="D78" s="136"/>
      <c r="E78" s="137"/>
      <c r="F78" s="138"/>
      <c r="G78" s="137"/>
      <c r="H78" s="137"/>
      <c r="I78" s="137"/>
      <c r="J78" s="137">
        <f t="shared" ref="J78:J79" si="20">H78-G78-I78</f>
        <v>0</v>
      </c>
      <c r="K78" s="137">
        <f t="shared" si="19"/>
        <v>0</v>
      </c>
      <c r="L78" s="125"/>
    </row>
    <row r="79" spans="3:14" x14ac:dyDescent="0.3">
      <c r="C79" s="271">
        <v>2005</v>
      </c>
      <c r="D79" s="136"/>
      <c r="E79" s="137"/>
      <c r="F79" s="138"/>
      <c r="G79" s="137"/>
      <c r="H79" s="137"/>
      <c r="I79" s="137"/>
      <c r="J79" s="137">
        <f t="shared" si="20"/>
        <v>0</v>
      </c>
      <c r="K79" s="137">
        <f t="shared" si="19"/>
        <v>0</v>
      </c>
      <c r="L79" s="125"/>
    </row>
    <row r="80" spans="3:14" x14ac:dyDescent="0.3">
      <c r="C80" s="271">
        <v>2006</v>
      </c>
      <c r="D80" s="136"/>
      <c r="E80" s="137"/>
      <c r="F80" s="138"/>
      <c r="G80" s="137"/>
      <c r="H80" s="137">
        <f>E80</f>
        <v>0</v>
      </c>
      <c r="I80" s="137"/>
      <c r="J80" s="137">
        <v>5354461</v>
      </c>
      <c r="K80" s="137">
        <f>I80*D80</f>
        <v>0</v>
      </c>
      <c r="L80" s="125"/>
    </row>
    <row r="81" spans="3:13" x14ac:dyDescent="0.3">
      <c r="C81" s="271">
        <v>2007</v>
      </c>
      <c r="D81" s="136"/>
      <c r="E81" s="137"/>
      <c r="F81" s="138"/>
      <c r="G81" s="137"/>
      <c r="H81" s="137">
        <f>I80</f>
        <v>0</v>
      </c>
      <c r="I81" s="137"/>
      <c r="J81" s="137">
        <v>5580677</v>
      </c>
      <c r="K81" s="137">
        <f t="shared" ref="K81:K87" si="21">I81*D81</f>
        <v>0</v>
      </c>
      <c r="L81" s="125"/>
    </row>
    <row r="82" spans="3:13" x14ac:dyDescent="0.3">
      <c r="C82" s="271">
        <v>2008</v>
      </c>
      <c r="D82" s="136"/>
      <c r="E82" s="137"/>
      <c r="F82" s="138"/>
      <c r="G82" s="137"/>
      <c r="H82" s="137">
        <f t="shared" ref="H82:H88" si="22">I81</f>
        <v>0</v>
      </c>
      <c r="I82" s="137"/>
      <c r="J82" s="137">
        <v>5936566</v>
      </c>
      <c r="K82" s="137">
        <f t="shared" si="21"/>
        <v>0</v>
      </c>
      <c r="L82" s="125"/>
    </row>
    <row r="83" spans="3:13" x14ac:dyDescent="0.3">
      <c r="C83" s="271">
        <v>2009</v>
      </c>
      <c r="D83" s="136"/>
      <c r="E83" s="137"/>
      <c r="F83" s="138"/>
      <c r="G83" s="137"/>
      <c r="H83" s="137">
        <f t="shared" si="22"/>
        <v>0</v>
      </c>
      <c r="I83" s="137"/>
      <c r="J83" s="137">
        <v>12188216</v>
      </c>
      <c r="K83" s="137">
        <f t="shared" si="21"/>
        <v>0</v>
      </c>
      <c r="L83" s="125"/>
    </row>
    <row r="84" spans="3:13" x14ac:dyDescent="0.3">
      <c r="C84" s="271">
        <v>2010</v>
      </c>
      <c r="D84" s="136"/>
      <c r="E84" s="137"/>
      <c r="F84" s="138"/>
      <c r="G84" s="137"/>
      <c r="H84" s="137">
        <f t="shared" si="22"/>
        <v>0</v>
      </c>
      <c r="I84" s="276"/>
      <c r="J84" s="276">
        <v>12551465</v>
      </c>
      <c r="K84" s="137">
        <f t="shared" si="21"/>
        <v>0</v>
      </c>
      <c r="L84" s="128"/>
    </row>
    <row r="85" spans="3:13" x14ac:dyDescent="0.3">
      <c r="C85" s="271">
        <v>2011</v>
      </c>
      <c r="D85" s="136"/>
      <c r="E85" s="137"/>
      <c r="F85" s="138"/>
      <c r="G85" s="137"/>
      <c r="H85" s="137">
        <f t="shared" si="22"/>
        <v>0</v>
      </c>
      <c r="I85" s="276"/>
      <c r="J85" s="276">
        <v>12975445</v>
      </c>
      <c r="K85" s="137">
        <f t="shared" si="21"/>
        <v>0</v>
      </c>
      <c r="L85" s="128"/>
    </row>
    <row r="86" spans="3:13" x14ac:dyDescent="0.3">
      <c r="C86" s="271">
        <v>2012</v>
      </c>
      <c r="D86" s="136"/>
      <c r="E86" s="137"/>
      <c r="F86" s="138"/>
      <c r="G86" s="137"/>
      <c r="H86" s="137">
        <f t="shared" si="22"/>
        <v>0</v>
      </c>
      <c r="I86" s="276"/>
      <c r="J86" s="276">
        <v>13364506</v>
      </c>
      <c r="K86" s="137">
        <f t="shared" si="21"/>
        <v>0</v>
      </c>
      <c r="L86" s="128"/>
    </row>
    <row r="87" spans="3:13" x14ac:dyDescent="0.3">
      <c r="C87" s="271">
        <v>2013</v>
      </c>
      <c r="D87" s="136"/>
      <c r="E87" s="137"/>
      <c r="F87" s="138"/>
      <c r="G87" s="137"/>
      <c r="H87" s="137">
        <f t="shared" si="22"/>
        <v>0</v>
      </c>
      <c r="I87" s="276"/>
      <c r="J87" s="276">
        <v>13787365</v>
      </c>
      <c r="K87" s="137">
        <f t="shared" si="21"/>
        <v>0</v>
      </c>
      <c r="L87" s="128"/>
    </row>
    <row r="88" spans="3:13" ht="110.25" customHeight="1" x14ac:dyDescent="0.3">
      <c r="C88" s="271">
        <v>2014</v>
      </c>
      <c r="D88" s="136">
        <f>Selic.IPCA!D17</f>
        <v>0.1096</v>
      </c>
      <c r="E88" s="137">
        <v>1000000</v>
      </c>
      <c r="F88" s="138">
        <v>41982</v>
      </c>
      <c r="G88" s="137"/>
      <c r="H88" s="137">
        <f t="shared" si="22"/>
        <v>0</v>
      </c>
      <c r="I88" s="276">
        <v>1003019</v>
      </c>
      <c r="J88" s="276">
        <v>35538976</v>
      </c>
      <c r="K88" s="137">
        <f>I88-E88</f>
        <v>3019</v>
      </c>
      <c r="L88" s="275" t="s">
        <v>70</v>
      </c>
    </row>
    <row r="89" spans="3:13" ht="28.8" x14ac:dyDescent="0.3">
      <c r="C89" s="271">
        <v>2015</v>
      </c>
      <c r="D89" s="136">
        <f>Selic.IPCA!D18</f>
        <v>0.13470000000000001</v>
      </c>
      <c r="E89" s="137"/>
      <c r="F89" s="138"/>
      <c r="G89" s="137"/>
      <c r="H89" s="137">
        <v>85559</v>
      </c>
      <c r="I89" s="276">
        <v>999999</v>
      </c>
      <c r="J89" s="276">
        <v>36612898</v>
      </c>
      <c r="K89" s="137">
        <f>(I89+H89)*D89</f>
        <v>146224.66260000001</v>
      </c>
      <c r="L89" s="275" t="s">
        <v>71</v>
      </c>
    </row>
    <row r="90" spans="3:13" ht="18" customHeight="1" x14ac:dyDescent="0.3">
      <c r="C90" s="271">
        <v>2016</v>
      </c>
      <c r="D90" s="136">
        <f>Selic.IPCA!D19</f>
        <v>0.14180000000000001</v>
      </c>
      <c r="E90" s="137"/>
      <c r="F90" s="138"/>
      <c r="G90" s="137"/>
      <c r="H90" s="137">
        <v>44423</v>
      </c>
      <c r="I90" s="276">
        <v>999999</v>
      </c>
      <c r="J90" s="276">
        <v>36250422</v>
      </c>
      <c r="K90" s="137">
        <f t="shared" ref="K90" si="23">(I90+H90)*D90</f>
        <v>148099.03960000002</v>
      </c>
      <c r="L90" s="275" t="s">
        <v>71</v>
      </c>
      <c r="M90" t="s">
        <v>72</v>
      </c>
    </row>
    <row r="91" spans="3:13" ht="28.8" x14ac:dyDescent="0.3">
      <c r="C91" s="271">
        <v>2017</v>
      </c>
      <c r="D91" s="136">
        <f>Selic.IPCA!D20</f>
        <v>0.1011</v>
      </c>
      <c r="E91" s="137"/>
      <c r="F91" s="138"/>
      <c r="G91" s="137"/>
      <c r="H91" s="137">
        <v>34215</v>
      </c>
      <c r="I91" s="276">
        <v>999999</v>
      </c>
      <c r="J91" s="276">
        <v>36110598</v>
      </c>
      <c r="K91" s="137">
        <f>(I91+H91)*D91</f>
        <v>104559.03539999999</v>
      </c>
      <c r="L91" s="275" t="s">
        <v>71</v>
      </c>
      <c r="M91" t="s">
        <v>72</v>
      </c>
    </row>
    <row r="92" spans="3:13" ht="28.8" x14ac:dyDescent="0.3">
      <c r="C92" s="271">
        <v>2017</v>
      </c>
      <c r="D92" s="136">
        <f>Selic.IPCA!D21</f>
        <v>6.4000000000000001E-2</v>
      </c>
      <c r="E92" s="137"/>
      <c r="F92" s="138"/>
      <c r="G92" s="137"/>
      <c r="H92" s="137">
        <v>56266</v>
      </c>
      <c r="I92" s="276">
        <v>999999</v>
      </c>
      <c r="J92" s="276">
        <v>36110598</v>
      </c>
      <c r="K92" s="137">
        <f>(I92+H92)*D92</f>
        <v>67600.960000000006</v>
      </c>
      <c r="L92" s="275" t="s">
        <v>71</v>
      </c>
    </row>
    <row r="93" spans="3:13" x14ac:dyDescent="0.3">
      <c r="C93" s="287"/>
      <c r="F93" s="287"/>
      <c r="I93" s="156"/>
      <c r="J93" s="157"/>
      <c r="K93" s="155"/>
      <c r="L93" s="155"/>
    </row>
    <row r="94" spans="3:13" x14ac:dyDescent="0.3">
      <c r="C94" s="333"/>
      <c r="D94" s="333"/>
      <c r="E94" s="333"/>
      <c r="F94" s="333"/>
      <c r="G94" s="333"/>
      <c r="H94" s="333"/>
      <c r="I94" s="333"/>
      <c r="J94" s="333"/>
      <c r="K94" s="333"/>
      <c r="L94" s="333"/>
    </row>
    <row r="95" spans="3:13" x14ac:dyDescent="0.3">
      <c r="C95" s="333"/>
      <c r="D95" s="333"/>
      <c r="E95" s="333"/>
      <c r="F95" s="333"/>
      <c r="G95" s="333"/>
      <c r="H95" s="333"/>
      <c r="I95" s="333"/>
      <c r="J95" s="333"/>
      <c r="K95" s="333"/>
      <c r="L95" s="333"/>
    </row>
    <row r="97" spans="3:13" x14ac:dyDescent="0.3">
      <c r="C97" s="277" t="s">
        <v>73</v>
      </c>
      <c r="F97" s="134"/>
    </row>
    <row r="98" spans="3:13" ht="28.8" x14ac:dyDescent="0.3">
      <c r="C98" s="278" t="s">
        <v>40</v>
      </c>
      <c r="D98" s="279" t="s">
        <v>41</v>
      </c>
      <c r="E98" s="280" t="s">
        <v>42</v>
      </c>
      <c r="F98" s="278" t="s">
        <v>43</v>
      </c>
      <c r="G98" s="280" t="s">
        <v>44</v>
      </c>
      <c r="H98" s="280" t="s">
        <v>68</v>
      </c>
      <c r="I98" s="280" t="s">
        <v>69</v>
      </c>
      <c r="J98" s="280" t="s">
        <v>47</v>
      </c>
      <c r="K98" s="280" t="s">
        <v>48</v>
      </c>
      <c r="L98" s="280" t="s">
        <v>54</v>
      </c>
    </row>
    <row r="99" spans="3:13" x14ac:dyDescent="0.3">
      <c r="C99" s="278">
        <v>2002</v>
      </c>
      <c r="D99" s="136"/>
      <c r="E99" s="137"/>
      <c r="F99" s="138"/>
      <c r="G99" s="137"/>
      <c r="H99" s="137"/>
      <c r="I99" s="137"/>
      <c r="J99" s="137"/>
      <c r="K99" s="137"/>
      <c r="L99" s="125"/>
    </row>
    <row r="100" spans="3:13" x14ac:dyDescent="0.3">
      <c r="C100" s="277">
        <v>2003</v>
      </c>
      <c r="D100" s="136"/>
      <c r="E100" s="137"/>
      <c r="F100" s="138"/>
      <c r="G100" s="137"/>
      <c r="H100" s="137"/>
      <c r="I100" s="137"/>
      <c r="J100" s="137"/>
      <c r="K100" s="137"/>
      <c r="L100" s="125"/>
    </row>
    <row r="101" spans="3:13" x14ac:dyDescent="0.3">
      <c r="C101" s="277">
        <v>2004</v>
      </c>
      <c r="D101" s="136"/>
      <c r="E101" s="137"/>
      <c r="F101" s="138"/>
      <c r="G101" s="137"/>
      <c r="H101" s="137"/>
      <c r="I101" s="137"/>
      <c r="J101" s="137"/>
      <c r="K101" s="137"/>
      <c r="L101" s="125"/>
    </row>
    <row r="102" spans="3:13" x14ac:dyDescent="0.3">
      <c r="C102" s="277">
        <v>2005</v>
      </c>
      <c r="D102" s="136"/>
      <c r="E102" s="137"/>
      <c r="F102" s="138"/>
      <c r="G102" s="137"/>
      <c r="H102" s="137"/>
      <c r="I102" s="137"/>
      <c r="J102" s="137"/>
      <c r="K102" s="137"/>
      <c r="L102" s="125"/>
    </row>
    <row r="103" spans="3:13" x14ac:dyDescent="0.3">
      <c r="C103" s="277">
        <v>2006</v>
      </c>
      <c r="D103" s="136"/>
      <c r="E103" s="137"/>
      <c r="F103" s="138"/>
      <c r="G103" s="137"/>
      <c r="H103" s="137"/>
      <c r="I103" s="137"/>
      <c r="J103" s="137"/>
      <c r="K103" s="137"/>
      <c r="L103" s="125"/>
    </row>
    <row r="104" spans="3:13" x14ac:dyDescent="0.3">
      <c r="C104" s="277">
        <v>2007</v>
      </c>
      <c r="D104" s="136"/>
      <c r="E104" s="137"/>
      <c r="F104" s="138"/>
      <c r="G104" s="137"/>
      <c r="H104" s="137"/>
      <c r="I104" s="137"/>
      <c r="J104" s="137"/>
      <c r="K104" s="137"/>
      <c r="L104" s="125"/>
    </row>
    <row r="105" spans="3:13" x14ac:dyDescent="0.3">
      <c r="C105" s="277">
        <v>2008</v>
      </c>
      <c r="D105" s="136"/>
      <c r="E105" s="137"/>
      <c r="F105" s="138"/>
      <c r="G105" s="137"/>
      <c r="H105" s="137"/>
      <c r="I105" s="137"/>
      <c r="J105" s="137"/>
      <c r="K105" s="137"/>
      <c r="L105" s="125"/>
    </row>
    <row r="106" spans="3:13" x14ac:dyDescent="0.3">
      <c r="C106" s="277">
        <v>2009</v>
      </c>
      <c r="D106" s="136"/>
      <c r="E106" s="137"/>
      <c r="F106" s="138"/>
      <c r="G106" s="137"/>
      <c r="H106" s="137"/>
      <c r="I106" s="137"/>
      <c r="J106" s="137"/>
      <c r="K106" s="137"/>
      <c r="L106" s="125"/>
    </row>
    <row r="107" spans="3:13" x14ac:dyDescent="0.3">
      <c r="C107" s="277">
        <v>2010</v>
      </c>
      <c r="D107" s="136">
        <f>Selic.IPCA!E217+0.064715</f>
        <v>0.12381499999999999</v>
      </c>
      <c r="E107" s="137">
        <v>1000000</v>
      </c>
      <c r="F107" s="138">
        <v>40534</v>
      </c>
      <c r="G107" s="137"/>
      <c r="H107" s="137"/>
      <c r="I107" s="276"/>
      <c r="J107" s="276"/>
      <c r="K107" s="137">
        <v>4166</v>
      </c>
      <c r="L107" s="128" t="s">
        <v>74</v>
      </c>
    </row>
    <row r="108" spans="3:13" x14ac:dyDescent="0.3">
      <c r="C108" s="277">
        <v>2011</v>
      </c>
      <c r="D108" s="136">
        <f>Selic.IPCA!E218+0.064715</f>
        <v>0.129715</v>
      </c>
      <c r="E108" s="137"/>
      <c r="F108" s="138"/>
      <c r="G108" s="137"/>
      <c r="H108" s="137"/>
      <c r="I108" s="276"/>
      <c r="J108" s="276"/>
      <c r="K108" s="137">
        <f>(K107+1000000)*D108</f>
        <v>130255.39268999999</v>
      </c>
      <c r="L108" s="128" t="s">
        <v>74</v>
      </c>
      <c r="M108" s="51">
        <f>(K107+1000000)*D108</f>
        <v>130255.39268999999</v>
      </c>
    </row>
    <row r="109" spans="3:13" x14ac:dyDescent="0.3">
      <c r="C109" s="277">
        <v>2012</v>
      </c>
      <c r="D109" s="136">
        <f>Selic.IPCA!E219+0.064715</f>
        <v>0.123115</v>
      </c>
      <c r="E109" s="137"/>
      <c r="F109" s="138"/>
      <c r="G109" s="137"/>
      <c r="H109" s="137"/>
      <c r="I109" s="276"/>
      <c r="J109" s="276"/>
      <c r="K109" s="137">
        <f>'Dados dos Bancos'!R83*'Remuneração da Dívida'!D109</f>
        <v>140089.11128000001</v>
      </c>
      <c r="L109" s="128" t="s">
        <v>74</v>
      </c>
    </row>
    <row r="110" spans="3:13" x14ac:dyDescent="0.3">
      <c r="C110" s="277">
        <v>2013</v>
      </c>
      <c r="D110" s="136">
        <f>Selic.IPCA!E220+0.064715</f>
        <v>0.12381499999999999</v>
      </c>
      <c r="E110" s="137"/>
      <c r="F110" s="138"/>
      <c r="G110" s="137"/>
      <c r="H110" s="137"/>
      <c r="I110" s="276"/>
      <c r="J110" s="276"/>
      <c r="K110" s="137">
        <f t="shared" ref="K110:K112" si="24">(K109+1000000)*D110</f>
        <v>141160.13331313321</v>
      </c>
      <c r="L110" s="128" t="s">
        <v>74</v>
      </c>
    </row>
    <row r="111" spans="3:13" x14ac:dyDescent="0.3">
      <c r="C111" s="277">
        <v>2014</v>
      </c>
      <c r="D111" s="136">
        <f>Selic.IPCA!E221+0.064715</f>
        <v>0.12881500000000001</v>
      </c>
      <c r="E111" s="137"/>
      <c r="F111" s="138"/>
      <c r="G111" s="137"/>
      <c r="H111" s="137"/>
      <c r="I111" s="276"/>
      <c r="J111" s="276"/>
      <c r="K111" s="137">
        <f t="shared" si="24"/>
        <v>146998.54257273127</v>
      </c>
      <c r="L111" s="128" t="s">
        <v>74</v>
      </c>
    </row>
    <row r="112" spans="3:13" x14ac:dyDescent="0.3">
      <c r="C112" s="277">
        <v>2015</v>
      </c>
      <c r="D112" s="136">
        <f>Selic.IPCA!E222+0.064715</f>
        <v>0.17141499999999998</v>
      </c>
      <c r="E112" s="137"/>
      <c r="F112" s="138"/>
      <c r="G112" s="137"/>
      <c r="H112" s="137"/>
      <c r="I112" s="276"/>
      <c r="J112" s="276"/>
      <c r="K112" s="137">
        <f t="shared" si="24"/>
        <v>196612.75517510468</v>
      </c>
      <c r="L112" s="128" t="s">
        <v>75</v>
      </c>
    </row>
    <row r="113" spans="3:12" x14ac:dyDescent="0.3">
      <c r="C113" s="277">
        <v>2016</v>
      </c>
      <c r="D113" s="136">
        <f>Selic.IPCA!E223</f>
        <v>6.2899999999999998E-2</v>
      </c>
      <c r="E113" s="137">
        <v>1000000</v>
      </c>
      <c r="F113" s="138">
        <v>42388</v>
      </c>
      <c r="G113" s="137"/>
      <c r="H113" s="137"/>
      <c r="I113" s="276"/>
      <c r="J113" s="276"/>
      <c r="K113" s="137"/>
      <c r="L113" s="275" t="s">
        <v>76</v>
      </c>
    </row>
    <row r="114" spans="3:12" x14ac:dyDescent="0.3">
      <c r="C114" s="277">
        <v>2017</v>
      </c>
      <c r="D114" s="136">
        <f>Selic.IPCA!E224</f>
        <v>2.9500000000000002E-2</v>
      </c>
      <c r="E114" s="137"/>
      <c r="F114" s="138"/>
      <c r="G114" s="137"/>
      <c r="H114" s="137"/>
      <c r="I114" s="276"/>
      <c r="J114" s="276"/>
      <c r="K114" s="137"/>
      <c r="L114" s="275" t="s">
        <v>76</v>
      </c>
    </row>
    <row r="115" spans="3:12" x14ac:dyDescent="0.3">
      <c r="C115" s="287"/>
      <c r="F115" s="287"/>
      <c r="I115" s="156"/>
      <c r="J115" s="157"/>
      <c r="K115" s="155"/>
      <c r="L115" s="155"/>
    </row>
    <row r="116" spans="3:12" x14ac:dyDescent="0.3">
      <c r="C116" s="333"/>
      <c r="D116" s="333"/>
      <c r="E116" s="333"/>
      <c r="F116" s="333"/>
      <c r="G116" s="333"/>
      <c r="H116" s="333"/>
      <c r="I116" s="333"/>
      <c r="J116" s="333"/>
      <c r="K116" s="333"/>
      <c r="L116" s="333"/>
    </row>
    <row r="117" spans="3:12" x14ac:dyDescent="0.3"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</row>
  </sheetData>
  <mergeCells count="5">
    <mergeCell ref="C23:L25"/>
    <mergeCell ref="C48:L49"/>
    <mergeCell ref="C71:L72"/>
    <mergeCell ref="C94:L95"/>
    <mergeCell ref="C116:L11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B1:AA20"/>
  <sheetViews>
    <sheetView showGridLines="0" topLeftCell="A2" zoomScale="85" zoomScaleNormal="85" workbookViewId="0">
      <selection activeCell="F8" sqref="F8"/>
    </sheetView>
  </sheetViews>
  <sheetFormatPr defaultColWidth="9.109375" defaultRowHeight="13.8" x14ac:dyDescent="0.25"/>
  <cols>
    <col min="1" max="1" width="9.109375" style="259"/>
    <col min="2" max="2" width="14.109375" style="259" customWidth="1"/>
    <col min="3" max="3" width="9.33203125" style="259" customWidth="1"/>
    <col min="4" max="4" width="9.109375" style="259"/>
    <col min="5" max="5" width="9.44140625" style="259" bestFit="1" customWidth="1"/>
    <col min="6" max="6" width="10.33203125" style="259" bestFit="1" customWidth="1"/>
    <col min="7" max="7" width="10.33203125" style="259" customWidth="1"/>
    <col min="8" max="8" width="11" style="259" customWidth="1"/>
    <col min="9" max="9" width="9.109375" style="259"/>
    <col min="10" max="10" width="5.44140625" style="259" customWidth="1"/>
    <col min="11" max="11" width="11" style="259" customWidth="1"/>
    <col min="12" max="12" width="10.33203125" style="259" customWidth="1"/>
    <col min="13" max="13" width="11.33203125" style="259" customWidth="1"/>
    <col min="14" max="14" width="9.44140625" style="259" bestFit="1" customWidth="1"/>
    <col min="15" max="15" width="9.44140625" style="259" customWidth="1"/>
    <col min="16" max="16" width="8.33203125" style="259" bestFit="1" customWidth="1"/>
    <col min="17" max="17" width="11.44140625" style="259" customWidth="1"/>
    <col min="18" max="18" width="10.88671875" style="259" customWidth="1"/>
    <col min="19" max="19" width="5.6640625" style="259" customWidth="1"/>
    <col min="20" max="21" width="10" style="259" customWidth="1"/>
    <col min="22" max="22" width="10.44140625" style="259" customWidth="1"/>
    <col min="23" max="23" width="9.44140625" style="259" bestFit="1" customWidth="1"/>
    <col min="24" max="24" width="10.33203125" style="259" bestFit="1" customWidth="1"/>
    <col min="25" max="25" width="10.33203125" style="259" customWidth="1"/>
    <col min="26" max="26" width="11" style="259" customWidth="1"/>
    <col min="27" max="16384" width="9.109375" style="259"/>
  </cols>
  <sheetData>
    <row r="1" spans="2:27" ht="27" customHeight="1" thickBot="1" x14ac:dyDescent="0.3">
      <c r="B1" s="340" t="s">
        <v>93</v>
      </c>
      <c r="C1" s="340"/>
      <c r="D1" s="340"/>
      <c r="E1" s="340"/>
      <c r="F1" s="340"/>
      <c r="G1" s="340"/>
      <c r="H1" s="340"/>
      <c r="I1" s="340"/>
      <c r="K1" s="339" t="s">
        <v>94</v>
      </c>
      <c r="L1" s="339"/>
      <c r="M1" s="339"/>
      <c r="N1" s="339"/>
      <c r="O1" s="339"/>
      <c r="P1" s="339"/>
      <c r="Q1" s="339"/>
      <c r="R1" s="339"/>
      <c r="S1" s="260"/>
      <c r="T1" s="339" t="s">
        <v>95</v>
      </c>
      <c r="U1" s="339"/>
      <c r="V1" s="339"/>
      <c r="W1" s="339"/>
      <c r="X1" s="339"/>
      <c r="Y1" s="339"/>
      <c r="Z1" s="339"/>
      <c r="AA1" s="339"/>
    </row>
    <row r="2" spans="2:27" ht="45.75" customHeight="1" thickBot="1" x14ac:dyDescent="0.3">
      <c r="B2" s="258" t="s">
        <v>96</v>
      </c>
      <c r="C2" s="258" t="s">
        <v>97</v>
      </c>
      <c r="D2" s="258" t="s">
        <v>98</v>
      </c>
      <c r="E2" s="258" t="s">
        <v>31</v>
      </c>
      <c r="F2" s="258" t="s">
        <v>35</v>
      </c>
      <c r="G2" s="258" t="s">
        <v>36</v>
      </c>
      <c r="H2" s="258" t="s">
        <v>99</v>
      </c>
      <c r="I2" s="258" t="s">
        <v>82</v>
      </c>
      <c r="K2" s="258" t="s">
        <v>96</v>
      </c>
      <c r="L2" s="258" t="s">
        <v>97</v>
      </c>
      <c r="M2" s="258" t="s">
        <v>98</v>
      </c>
      <c r="N2" s="258" t="s">
        <v>31</v>
      </c>
      <c r="O2" s="258" t="s">
        <v>35</v>
      </c>
      <c r="P2" s="258" t="s">
        <v>36</v>
      </c>
      <c r="Q2" s="258" t="s">
        <v>99</v>
      </c>
      <c r="R2" s="258" t="s">
        <v>82</v>
      </c>
      <c r="T2" s="258" t="s">
        <v>96</v>
      </c>
      <c r="U2" s="258" t="s">
        <v>97</v>
      </c>
      <c r="V2" s="258" t="s">
        <v>98</v>
      </c>
      <c r="W2" s="258" t="s">
        <v>31</v>
      </c>
      <c r="X2" s="258" t="s">
        <v>35</v>
      </c>
      <c r="Y2" s="258" t="s">
        <v>36</v>
      </c>
      <c r="Z2" s="258" t="s">
        <v>99</v>
      </c>
      <c r="AA2" s="258" t="s">
        <v>82</v>
      </c>
    </row>
    <row r="3" spans="2:27" x14ac:dyDescent="0.25">
      <c r="B3" s="243" t="s">
        <v>92</v>
      </c>
      <c r="C3" s="267">
        <f>AVERAGE(Indicadores!C5:C20)</f>
        <v>0.22118061173068634</v>
      </c>
      <c r="D3" s="267">
        <f>AVERAGE(Indicadores!D5:D20)</f>
        <v>0.22881363971072197</v>
      </c>
      <c r="E3" s="267">
        <f>AVERAGE(Indicadores!E5:E20)</f>
        <v>0.18076339639108749</v>
      </c>
      <c r="F3" s="267">
        <f>AVERAGE(Indicadores!F5:F20)</f>
        <v>9.5835870946037974E-2</v>
      </c>
      <c r="G3" s="267">
        <f>AVERAGE(Indicadores!G5:G20)</f>
        <v>0.16538529951397826</v>
      </c>
      <c r="H3" s="267" t="e">
        <f>AVERAGE(#REF!)</f>
        <v>#REF!</v>
      </c>
      <c r="I3" s="267">
        <f>AVERAGE(Indicadores!H5:H20)</f>
        <v>0.13438125000000001</v>
      </c>
      <c r="K3" s="243" t="s">
        <v>92</v>
      </c>
      <c r="L3" s="267">
        <f>AVERAGE(Indicadores!L5:L20)</f>
        <v>0.20994879425386057</v>
      </c>
      <c r="M3" s="267">
        <f>AVERAGE(Indicadores!M5:M20)</f>
        <v>0.21827257456302807</v>
      </c>
      <c r="N3" s="267">
        <f>AVERAGE(Indicadores!N5:N20)</f>
        <v>0.20434181031050086</v>
      </c>
      <c r="O3" s="267">
        <f>AVERAGE(Indicadores!O5:O20)</f>
        <v>7.2966338451333754E-2</v>
      </c>
      <c r="P3" s="267">
        <f>AVERAGE(Indicadores!P5:P20)</f>
        <v>0.14901823783877402</v>
      </c>
      <c r="Q3" s="267" t="e">
        <f>AVERAGE(#REF!)</f>
        <v>#REF!</v>
      </c>
      <c r="R3" s="261">
        <f>AVERAGE(Indicadores!Z5:Z20)</f>
        <v>0.13438125000000001</v>
      </c>
      <c r="T3" s="268" t="s">
        <v>92</v>
      </c>
      <c r="U3" s="267">
        <f>AVERAGE(Indicadores!U5:U20)</f>
        <v>7.7412084102190123E-2</v>
      </c>
      <c r="V3" s="267">
        <f>AVERAGE(Indicadores!V5:V20)</f>
        <v>9.1077423592434703E-2</v>
      </c>
      <c r="W3" s="267">
        <f>AVERAGE(Indicadores!W5:W20)</f>
        <v>6.4246707189297342E-2</v>
      </c>
      <c r="X3" s="267">
        <f>AVERAGE(Indicadores!X5:X20)</f>
        <v>4.1550601899791817E-2</v>
      </c>
      <c r="Y3" s="267">
        <f>AVERAGE(Indicadores!Y5:Y20)</f>
        <v>6.0171499926747141E-2</v>
      </c>
      <c r="Z3" s="267"/>
      <c r="AA3" s="267">
        <f>AVERAGE(Indicadores!Z5:Z20)</f>
        <v>0.13438125000000001</v>
      </c>
    </row>
    <row r="4" spans="2:27" x14ac:dyDescent="0.25">
      <c r="B4" s="243" t="s">
        <v>100</v>
      </c>
      <c r="C4" s="267">
        <f>MEDIAN(Indicadores!C5:C20)</f>
        <v>0.22452322724409962</v>
      </c>
      <c r="D4" s="267">
        <f>MEDIAN(Indicadores!D5:D20)</f>
        <v>0.24377151220076712</v>
      </c>
      <c r="E4" s="267">
        <f>MEDIAN(Indicadores!E5:E20)</f>
        <v>0.16823610187161786</v>
      </c>
      <c r="F4" s="267">
        <f>MEDIAN(Indicadores!F5:F20)</f>
        <v>9.3669447018747937E-2</v>
      </c>
      <c r="G4" s="267">
        <f>MEDIAN(Indicadores!G5:G20)</f>
        <v>0.14108787874849005</v>
      </c>
      <c r="H4" s="267" t="e">
        <f>MEDIAN(#REF!)</f>
        <v>#REF!</v>
      </c>
      <c r="I4" s="267">
        <f>MEDIAN(Indicadores!H5:H20)</f>
        <v>0.12245</v>
      </c>
      <c r="K4" s="243" t="s">
        <v>100</v>
      </c>
      <c r="L4" s="267">
        <f>MEDIAN(Indicadores!L5:L20)</f>
        <v>0.22570779792546991</v>
      </c>
      <c r="M4" s="267">
        <f>MEDIAN(Indicadores!M5:M20)</f>
        <v>0.24658763591232113</v>
      </c>
      <c r="N4" s="267">
        <f>MEDIAN(Indicadores!N5:N20)</f>
        <v>0.17703468342093001</v>
      </c>
      <c r="O4" s="267">
        <f>MEDIAN(Indicadores!O5:O20)</f>
        <v>7.6710628295406119E-2</v>
      </c>
      <c r="P4" s="267">
        <f>MEDIAN(Indicadores!P5:P20)</f>
        <v>0.13721942956973715</v>
      </c>
      <c r="Q4" s="267" t="e">
        <f>MEDIAN(#REF!)</f>
        <v>#REF!</v>
      </c>
      <c r="R4" s="261">
        <f>MEDIAN(Indicadores!Z5:Z20)</f>
        <v>0.12245</v>
      </c>
      <c r="T4" s="268" t="s">
        <v>100</v>
      </c>
      <c r="U4" s="267">
        <f>MEDIAN(Indicadores!U5:U20)</f>
        <v>7.7396063098827655E-2</v>
      </c>
      <c r="V4" s="267">
        <f>MEDIAN(Indicadores!V5:V20)</f>
        <v>9.8841285928294109E-2</v>
      </c>
      <c r="W4" s="267">
        <f>MEDIAN(Indicadores!W5:W20)</f>
        <v>6.016701485390144E-2</v>
      </c>
      <c r="X4" s="267">
        <f>MEDIAN(Indicadores!X5:X20)</f>
        <v>3.8618806116174784E-2</v>
      </c>
      <c r="Y4" s="267">
        <f>MEDIAN(Indicadores!Y5:Y20)</f>
        <v>6.697912355480673E-2</v>
      </c>
      <c r="Z4" s="267" t="e">
        <f>MEDIAN(#REF!)</f>
        <v>#REF!</v>
      </c>
      <c r="AA4" s="267">
        <f>MEDIAN(Indicadores!Z5:Z20)</f>
        <v>0.12245</v>
      </c>
    </row>
    <row r="5" spans="2:27" x14ac:dyDescent="0.25">
      <c r="B5" s="243" t="s">
        <v>101</v>
      </c>
      <c r="C5" s="267">
        <f>MAX(Indicadores!C5:C20)</f>
        <v>0.31599225116455898</v>
      </c>
      <c r="D5" s="267">
        <f>MAX(Indicadores!D5:D20)</f>
        <v>0.33346435912992972</v>
      </c>
      <c r="E5" s="267">
        <f>MAX(Indicadores!E5:E20)</f>
        <v>0.36383781550506455</v>
      </c>
      <c r="F5" s="267">
        <f>MAX(Indicadores!F5:F20)</f>
        <v>0.22120616227309067</v>
      </c>
      <c r="G5" s="267">
        <f>MAX(Indicadores!G5:G20)</f>
        <v>0.32732937715055105</v>
      </c>
      <c r="H5" s="267" t="e">
        <f>MAX(#REF!)</f>
        <v>#REF!</v>
      </c>
      <c r="I5" s="267">
        <f>MAX(Indicadores!H5:H20)</f>
        <v>0.23469999999999999</v>
      </c>
      <c r="K5" s="243" t="s">
        <v>101</v>
      </c>
      <c r="L5" s="267">
        <f>MAX(Indicadores!L5:L20)</f>
        <v>0.34813466678128829</v>
      </c>
      <c r="M5" s="267">
        <f>MAX(Indicadores!M5:M20)</f>
        <v>0.38605386919377177</v>
      </c>
      <c r="N5" s="267">
        <f>MAX(Indicadores!N5:N20)</f>
        <v>0.83580011908607355</v>
      </c>
      <c r="O5" s="267">
        <f>MAX(Indicadores!O5:O20)</f>
        <v>0.22120616227309067</v>
      </c>
      <c r="P5" s="267">
        <f>MAX(Indicadores!P5:P20)</f>
        <v>0.2666054129920491</v>
      </c>
      <c r="Q5" s="267" t="e">
        <f>MAX(#REF!)</f>
        <v>#REF!</v>
      </c>
      <c r="R5" s="261">
        <f>MAX(Indicadores!Z5:Z20)</f>
        <v>0.23469999999999999</v>
      </c>
      <c r="T5" s="268" t="s">
        <v>101</v>
      </c>
      <c r="U5" s="267">
        <f>MAX(Indicadores!U5:U20)</f>
        <v>0.11737370789185265</v>
      </c>
      <c r="V5" s="267">
        <f>MAX(Indicadores!V5:V20)</f>
        <v>0.20707525227338178</v>
      </c>
      <c r="W5" s="267">
        <f>MAX(Indicadores!W5:W20)</f>
        <v>0.17501984221744571</v>
      </c>
      <c r="X5" s="267">
        <f>MAX(Indicadores!X5:X20)</f>
        <v>9.5717635184153244E-2</v>
      </c>
      <c r="Y5" s="267">
        <f>MAX(Indicadores!Y5:Y20)</f>
        <v>0.12267297313686253</v>
      </c>
      <c r="Z5" s="267" t="e">
        <f>MAX(#REF!)</f>
        <v>#REF!</v>
      </c>
      <c r="AA5" s="267">
        <f>MAX(Indicadores!Z5:Z20)</f>
        <v>0.23469999999999999</v>
      </c>
    </row>
    <row r="6" spans="2:27" x14ac:dyDescent="0.25">
      <c r="B6" s="243" t="s">
        <v>102</v>
      </c>
      <c r="C6" s="267">
        <f>MIN(Indicadores!C5:C20)</f>
        <v>9.2511959532529664E-2</v>
      </c>
      <c r="D6" s="267">
        <f>MIN(Indicadores!D5:D20)</f>
        <v>6.5486072207236914E-2</v>
      </c>
      <c r="E6" s="267">
        <f>MIN(Indicadores!E5:E20)</f>
        <v>4.4498638609782822E-2</v>
      </c>
      <c r="F6" s="267">
        <f>MIN(Indicadores!F5:F20)</f>
        <v>1.3904768198790603E-2</v>
      </c>
      <c r="G6" s="267">
        <f>MIN(Indicadores!G5:G20)</f>
        <v>6.8168851787566501E-2</v>
      </c>
      <c r="H6" s="267" t="e">
        <f>MIN(#REF!)</f>
        <v>#REF!</v>
      </c>
      <c r="I6" s="267">
        <f>MIN(Indicadores!H5:H20)</f>
        <v>8.2899999999999988E-2</v>
      </c>
      <c r="K6" s="243" t="s">
        <v>102</v>
      </c>
      <c r="L6" s="267">
        <f>MIN(Indicadores!L5:L20)</f>
        <v>1.3363063219227016E-2</v>
      </c>
      <c r="M6" s="267">
        <f>MIN(Indicadores!M5:M20)</f>
        <v>3.3770335842621346E-2</v>
      </c>
      <c r="N6" s="267">
        <f>MIN(Indicadores!N5:N20)</f>
        <v>-0.12449713858823623</v>
      </c>
      <c r="O6" s="267">
        <f>MIN(Indicadores!O5:O20)</f>
        <v>-0.16950751644004725</v>
      </c>
      <c r="P6" s="267">
        <f>MIN(Indicadores!P5:P20)</f>
        <v>-3.9887972861031122E-2</v>
      </c>
      <c r="Q6" s="267" t="e">
        <f>MIN(#REF!)</f>
        <v>#REF!</v>
      </c>
      <c r="R6" s="261">
        <f>MIN(Indicadores!Z5:Z20)</f>
        <v>8.2899999999999988E-2</v>
      </c>
      <c r="T6" s="268" t="s">
        <v>102</v>
      </c>
      <c r="U6" s="267">
        <f>MIN(Indicadores!U5:U20)</f>
        <v>2.6999539788935656E-2</v>
      </c>
      <c r="V6" s="267">
        <f>MIN(Indicadores!V5:V20)</f>
        <v>1.0710727002998369E-2</v>
      </c>
      <c r="W6" s="267">
        <f>MIN(Indicadores!W5:W20)</f>
        <v>1.2751085140591971E-2</v>
      </c>
      <c r="X6" s="267">
        <f>MIN(Indicadores!X5:X20)</f>
        <v>8.4233091559986692E-3</v>
      </c>
      <c r="Y6" s="267">
        <f>MIN(Indicadores!Y5:Y20)</f>
        <v>0</v>
      </c>
      <c r="Z6" s="267" t="e">
        <f>MIN(#REF!)</f>
        <v>#REF!</v>
      </c>
      <c r="AA6" s="267">
        <f>MIN(Indicadores!Z5:Z20)</f>
        <v>8.2899999999999988E-2</v>
      </c>
    </row>
    <row r="7" spans="2:27" ht="24.75" customHeight="1" thickBot="1" x14ac:dyDescent="0.3">
      <c r="B7" s="241" t="s">
        <v>103</v>
      </c>
      <c r="C7" s="284">
        <f>_xlfn.STDEV.P(Indicadores!C5:C20)</f>
        <v>6.3695908012243341E-2</v>
      </c>
      <c r="D7" s="284">
        <f>_xlfn.STDEV.P(Indicadores!D5:D20)</f>
        <v>7.4370380419920654E-2</v>
      </c>
      <c r="E7" s="284">
        <f>_xlfn.STDEV.P(Indicadores!E5:E20)</f>
        <v>8.2329759778221157E-2</v>
      </c>
      <c r="F7" s="284">
        <f>_xlfn.STDEV.P(Indicadores!F5:F20)</f>
        <v>4.8861555808642425E-2</v>
      </c>
      <c r="G7" s="284">
        <f>_xlfn.STDEV.P(Indicadores!G5:G20)</f>
        <v>6.5321034432710687E-2</v>
      </c>
      <c r="H7" s="284" t="e">
        <f>_xlfn.STDEV.P(#REF!)</f>
        <v>#REF!</v>
      </c>
      <c r="I7" s="284">
        <f>_xlfn.STDEV.P(Indicadores!H5:H20)</f>
        <v>4.137233705554353E-2</v>
      </c>
      <c r="K7" s="241" t="s">
        <v>103</v>
      </c>
      <c r="L7" s="284">
        <f>_xlfn.STDEV.P(Indicadores!L5:L20)</f>
        <v>9.679795712563713E-2</v>
      </c>
      <c r="M7" s="284">
        <f>_xlfn.STDEV.P(Indicadores!M5:M20)</f>
        <v>9.5610503237775354E-2</v>
      </c>
      <c r="N7" s="284">
        <f>_xlfn.STDEV.P(Indicadores!N5:N20)</f>
        <v>0.23651872321291531</v>
      </c>
      <c r="O7" s="284">
        <f>_xlfn.STDEV.P(Indicadores!O5:O20)</f>
        <v>8.5329219139935408E-2</v>
      </c>
      <c r="P7" s="284">
        <f>_xlfn.STDEV.P(Indicadores!P5:P20)</f>
        <v>7.0554142299762618E-2</v>
      </c>
      <c r="Q7" s="284" t="e">
        <f>_xlfn.STDEV.P(#REF!)</f>
        <v>#REF!</v>
      </c>
      <c r="R7" s="262">
        <f>_xlfn.STDEV.P(Indicadores!Z5:Z20)</f>
        <v>4.137233705554353E-2</v>
      </c>
      <c r="T7" s="269" t="s">
        <v>103</v>
      </c>
      <c r="U7" s="284">
        <f>_xlfn.STDEV.P(Indicadores!U5:U20)</f>
        <v>2.5752220801572408E-2</v>
      </c>
      <c r="V7" s="284">
        <f>_xlfn.STDEV.P(Indicadores!V5:V20)</f>
        <v>5.076029236201611E-2</v>
      </c>
      <c r="W7" s="284">
        <f>_xlfn.STDEV.P(Indicadores!W5:W20)</f>
        <v>3.9239164557308581E-2</v>
      </c>
      <c r="X7" s="284">
        <f>_xlfn.STDEV.P(Indicadores!X5:X20)</f>
        <v>2.3568279525156631E-2</v>
      </c>
      <c r="Y7" s="284">
        <f>_xlfn.STDEV.P(Indicadores!Y5:Y20)</f>
        <v>3.3606648450992226E-2</v>
      </c>
      <c r="Z7" s="284" t="e">
        <f>_xlfn.STDEV.P(#REF!)</f>
        <v>#REF!</v>
      </c>
      <c r="AA7" s="284">
        <f>_xlfn.STDEV.P(Indicadores!Z5:Z20)</f>
        <v>4.137233705554353E-2</v>
      </c>
    </row>
    <row r="8" spans="2:27" ht="17.25" customHeight="1" x14ac:dyDescent="0.25">
      <c r="B8" s="335" t="s">
        <v>104</v>
      </c>
      <c r="C8" s="335"/>
      <c r="D8" s="335"/>
      <c r="E8" s="263" t="s">
        <v>105</v>
      </c>
      <c r="F8" s="265"/>
      <c r="G8" s="265"/>
      <c r="H8" s="336"/>
      <c r="I8" s="336"/>
      <c r="K8" s="335" t="s">
        <v>104</v>
      </c>
      <c r="L8" s="335"/>
      <c r="M8" s="335"/>
      <c r="N8" s="263" t="s">
        <v>105</v>
      </c>
      <c r="O8" s="263"/>
      <c r="P8" s="265"/>
      <c r="Q8" s="336"/>
      <c r="R8" s="336"/>
      <c r="T8" s="335" t="s">
        <v>104</v>
      </c>
      <c r="U8" s="335"/>
      <c r="V8" s="335"/>
      <c r="W8" s="263" t="s">
        <v>105</v>
      </c>
      <c r="X8" s="265"/>
      <c r="Y8" s="265"/>
      <c r="Z8" s="336"/>
      <c r="AA8" s="336"/>
    </row>
    <row r="9" spans="2:27" ht="17.25" customHeight="1" thickBot="1" x14ac:dyDescent="0.3">
      <c r="B9" s="241"/>
      <c r="C9" s="262"/>
      <c r="D9" s="262"/>
      <c r="E9" s="264" t="s">
        <v>106</v>
      </c>
      <c r="F9" s="262"/>
      <c r="G9" s="262"/>
      <c r="H9" s="337"/>
      <c r="I9" s="337"/>
      <c r="K9" s="241"/>
      <c r="L9" s="262"/>
      <c r="M9" s="262"/>
      <c r="N9" s="264" t="s">
        <v>106</v>
      </c>
      <c r="O9" s="264"/>
      <c r="P9" s="262"/>
      <c r="Q9" s="337"/>
      <c r="R9" s="337"/>
      <c r="S9" s="266"/>
      <c r="T9" s="241"/>
      <c r="U9" s="262"/>
      <c r="V9" s="262"/>
      <c r="W9" s="264" t="s">
        <v>106</v>
      </c>
      <c r="X9" s="262"/>
      <c r="Y9" s="262"/>
      <c r="Z9" s="337"/>
      <c r="AA9" s="337"/>
    </row>
    <row r="10" spans="2:27" ht="17.25" customHeight="1" x14ac:dyDescent="0.25">
      <c r="B10" s="243"/>
      <c r="C10" s="261"/>
      <c r="D10" s="261"/>
      <c r="E10" s="263"/>
      <c r="F10" s="261"/>
      <c r="G10" s="261"/>
      <c r="H10" s="267"/>
      <c r="I10" s="267"/>
      <c r="K10" s="243"/>
      <c r="L10" s="261"/>
      <c r="M10" s="261"/>
      <c r="N10" s="263"/>
      <c r="O10" s="263"/>
      <c r="P10" s="261"/>
      <c r="Q10" s="267"/>
      <c r="R10" s="267"/>
      <c r="S10" s="266"/>
      <c r="T10" s="243"/>
      <c r="U10" s="261"/>
      <c r="V10" s="261"/>
      <c r="W10" s="263"/>
      <c r="X10" s="261"/>
      <c r="Y10" s="261"/>
      <c r="Z10" s="267"/>
      <c r="AA10" s="267"/>
    </row>
    <row r="11" spans="2:27" ht="15" customHeight="1" x14ac:dyDescent="0.25">
      <c r="B11" s="338" t="s">
        <v>107</v>
      </c>
      <c r="C11" s="338"/>
      <c r="D11" s="338"/>
      <c r="E11" s="338"/>
      <c r="F11" s="338"/>
      <c r="G11" s="338"/>
      <c r="H11" s="338"/>
      <c r="I11" s="338"/>
      <c r="K11" s="338" t="s">
        <v>108</v>
      </c>
      <c r="L11" s="338"/>
      <c r="M11" s="338"/>
      <c r="N11" s="338"/>
      <c r="O11" s="338"/>
      <c r="P11" s="338"/>
      <c r="Q11" s="338"/>
      <c r="R11" s="338"/>
      <c r="T11" s="338" t="s">
        <v>109</v>
      </c>
      <c r="U11" s="338"/>
      <c r="V11" s="338"/>
      <c r="W11" s="338"/>
      <c r="X11" s="338"/>
      <c r="Y11" s="338"/>
      <c r="Z11" s="338"/>
      <c r="AA11" s="338"/>
    </row>
    <row r="12" spans="2:27" ht="15.75" customHeight="1" thickBot="1" x14ac:dyDescent="0.3">
      <c r="B12" s="339"/>
      <c r="C12" s="339"/>
      <c r="D12" s="339"/>
      <c r="E12" s="339"/>
      <c r="F12" s="339"/>
      <c r="G12" s="339"/>
      <c r="H12" s="339"/>
      <c r="I12" s="339"/>
      <c r="K12" s="339"/>
      <c r="L12" s="339"/>
      <c r="M12" s="339"/>
      <c r="N12" s="339"/>
      <c r="O12" s="339"/>
      <c r="P12" s="339"/>
      <c r="Q12" s="339"/>
      <c r="R12" s="339"/>
      <c r="T12" s="339"/>
      <c r="U12" s="339"/>
      <c r="V12" s="339"/>
      <c r="W12" s="339"/>
      <c r="X12" s="339"/>
      <c r="Y12" s="339"/>
      <c r="Z12" s="339"/>
      <c r="AA12" s="339"/>
    </row>
    <row r="13" spans="2:27" ht="41.25" customHeight="1" thickBot="1" x14ac:dyDescent="0.3">
      <c r="B13" s="258" t="s">
        <v>96</v>
      </c>
      <c r="C13" s="258" t="s">
        <v>97</v>
      </c>
      <c r="D13" s="258" t="s">
        <v>98</v>
      </c>
      <c r="E13" s="258" t="s">
        <v>31</v>
      </c>
      <c r="F13" s="258" t="s">
        <v>35</v>
      </c>
      <c r="G13" s="258" t="s">
        <v>36</v>
      </c>
      <c r="H13" s="258" t="s">
        <v>99</v>
      </c>
      <c r="I13" s="258" t="s">
        <v>82</v>
      </c>
      <c r="K13" s="258" t="s">
        <v>96</v>
      </c>
      <c r="L13" s="258" t="s">
        <v>97</v>
      </c>
      <c r="M13" s="258" t="s">
        <v>98</v>
      </c>
      <c r="N13" s="258" t="s">
        <v>31</v>
      </c>
      <c r="O13" s="258" t="s">
        <v>35</v>
      </c>
      <c r="P13" s="258" t="s">
        <v>36</v>
      </c>
      <c r="Q13" s="258" t="s">
        <v>99</v>
      </c>
      <c r="R13" s="258" t="s">
        <v>82</v>
      </c>
      <c r="T13" s="258" t="s">
        <v>96</v>
      </c>
      <c r="U13" s="258" t="s">
        <v>97</v>
      </c>
      <c r="V13" s="258" t="s">
        <v>98</v>
      </c>
      <c r="W13" s="258" t="s">
        <v>31</v>
      </c>
      <c r="X13" s="258" t="s">
        <v>35</v>
      </c>
      <c r="Y13" s="258" t="s">
        <v>36</v>
      </c>
      <c r="Z13" s="258" t="s">
        <v>99</v>
      </c>
      <c r="AA13" s="258" t="s">
        <v>82</v>
      </c>
    </row>
    <row r="14" spans="2:27" x14ac:dyDescent="0.25">
      <c r="B14" s="243" t="s">
        <v>92</v>
      </c>
      <c r="C14" s="267">
        <f>AVERAGE(Indicadores!C42:C57)</f>
        <v>0.21691635444554777</v>
      </c>
      <c r="D14" s="267">
        <f>AVERAGE(Indicadores!D42:D57)</f>
        <v>0.19244741016467495</v>
      </c>
      <c r="E14" s="267">
        <f>AVERAGE(Indicadores!E42:E57)</f>
        <v>0.15578405596727429</v>
      </c>
      <c r="F14" s="267">
        <f>AVERAGE(Indicadores!F42:F57)</f>
        <v>9.8931889662061512E-2</v>
      </c>
      <c r="G14" s="267">
        <f>AVERAGE(Indicadores!G42:G57)</f>
        <v>0.14748285255798174</v>
      </c>
      <c r="H14" s="267" t="e">
        <f>AVERAGE(#REF!)</f>
        <v>#REF!</v>
      </c>
      <c r="I14" s="267">
        <f>AVERAGE(Indicadores!H42:H57)</f>
        <v>0.13438125000000001</v>
      </c>
      <c r="K14" s="243" t="s">
        <v>92</v>
      </c>
      <c r="L14" s="261">
        <f>AVERAGE(Indicadores!L42:L57)</f>
        <v>0.20653357938682243</v>
      </c>
      <c r="M14" s="261">
        <f>AVERAGE(Indicadores!M42:M57)</f>
        <v>0.18330858533508448</v>
      </c>
      <c r="N14" s="261">
        <f>AVERAGE(Indicadores!N42:N57)</f>
        <v>0.16923962013912011</v>
      </c>
      <c r="O14" s="261">
        <f>AVERAGE(Indicadores!O42:O57)</f>
        <v>7.7683658652056661E-2</v>
      </c>
      <c r="P14" s="261">
        <f>AVERAGE(Indicadores!P42:P57)</f>
        <v>0.13942730995188304</v>
      </c>
      <c r="Q14" s="261" t="e">
        <f>AVERAGE(#REF!)</f>
        <v>#REF!</v>
      </c>
      <c r="R14" s="261">
        <f>AVERAGE(Indicadores!Q42:Q57)</f>
        <v>0.13438125000000001</v>
      </c>
      <c r="T14" s="268" t="s">
        <v>92</v>
      </c>
      <c r="U14" s="261">
        <f>AVERAGE(Indicadores!U42:U57)</f>
        <v>7.7338471271163223E-2</v>
      </c>
      <c r="V14" s="261">
        <f>AVERAGE(Indicadores!V42:V57)</f>
        <v>7.8095869259050377E-2</v>
      </c>
      <c r="W14" s="261">
        <f>AVERAGE(Indicadores!W42:W57)</f>
        <v>6.0415133151129022E-2</v>
      </c>
      <c r="X14" s="261">
        <f>AVERAGE(Indicadores!X42:X57)</f>
        <v>4.8131561486198245E-2</v>
      </c>
      <c r="Y14" s="261">
        <f>AVERAGE(Indicadores!Y42:Y57)</f>
        <v>6.2895974158558646E-2</v>
      </c>
      <c r="Z14" s="261"/>
      <c r="AA14" s="261">
        <f>AVERAGE(Indicadores!Z42:Z57)</f>
        <v>0.13438125000000001</v>
      </c>
    </row>
    <row r="15" spans="2:27" x14ac:dyDescent="0.25">
      <c r="B15" s="243" t="s">
        <v>100</v>
      </c>
      <c r="C15" s="267">
        <f>MEDIAN(Indicadores!C42:C57)</f>
        <v>0.22264226217254823</v>
      </c>
      <c r="D15" s="267">
        <f>MEDIAN(Indicadores!D42:D57)</f>
        <v>0.1819377468078367</v>
      </c>
      <c r="E15" s="267">
        <f>MEDIAN(Indicadores!E42:E57)</f>
        <v>0.12922038881314585</v>
      </c>
      <c r="F15" s="267">
        <f>MEDIAN(Indicadores!F42:F57)</f>
        <v>9.7872848524147821E-2</v>
      </c>
      <c r="G15" s="267">
        <f>MEDIAN(Indicadores!G42:G57)</f>
        <v>0.13271111458535387</v>
      </c>
      <c r="H15" s="267" t="e">
        <f>MEDIAN(#REF!)</f>
        <v>#REF!</v>
      </c>
      <c r="I15" s="267">
        <f>MEDIAN(Indicadores!H42:H57)</f>
        <v>0.12245</v>
      </c>
      <c r="K15" s="243" t="s">
        <v>100</v>
      </c>
      <c r="L15" s="261">
        <f>MEDIAN(Indicadores!L42:L57)</f>
        <v>0.22061395944715201</v>
      </c>
      <c r="M15" s="261">
        <f>MEDIAN(Indicadores!M42:M57)</f>
        <v>0.17515057213611168</v>
      </c>
      <c r="N15" s="261">
        <f>MEDIAN(Indicadores!N42:N57)</f>
        <v>0.12816185143020745</v>
      </c>
      <c r="O15" s="261">
        <f>MEDIAN(Indicadores!O42:O57)</f>
        <v>7.7945688936522706E-2</v>
      </c>
      <c r="P15" s="261">
        <f>MEDIAN(Indicadores!P42:P57)</f>
        <v>0.1297889749402858</v>
      </c>
      <c r="Q15" s="261" t="e">
        <f>MEDIAN(#REF!)</f>
        <v>#REF!</v>
      </c>
      <c r="R15" s="261">
        <f>MEDIAN(Indicadores!Q42:Q57)</f>
        <v>0.12245</v>
      </c>
      <c r="T15" s="268" t="s">
        <v>100</v>
      </c>
      <c r="U15" s="261">
        <f>MEDIAN(Indicadores!U42:U57)</f>
        <v>7.4218206283718446E-2</v>
      </c>
      <c r="V15" s="261">
        <f>MEDIAN(Indicadores!V42:V57)</f>
        <v>8.2528491814362129E-2</v>
      </c>
      <c r="W15" s="261">
        <f>MEDIAN(Indicadores!W42:W57)</f>
        <v>5.9550489674248946E-2</v>
      </c>
      <c r="X15" s="261">
        <f>MEDIAN(Indicadores!X42:X57)</f>
        <v>4.202101088886169E-2</v>
      </c>
      <c r="Y15" s="261">
        <f>MEDIAN(Indicadores!Y42:Y57)</f>
        <v>6.8640486722965299E-2</v>
      </c>
      <c r="Z15" s="261" t="e">
        <f>MEDIAN(#REF!)</f>
        <v>#REF!</v>
      </c>
      <c r="AA15" s="261">
        <f>MEDIAN(Indicadores!Z42:Z57)</f>
        <v>0.12245</v>
      </c>
    </row>
    <row r="16" spans="2:27" x14ac:dyDescent="0.25">
      <c r="B16" s="243" t="s">
        <v>101</v>
      </c>
      <c r="C16" s="267">
        <f>MAX(Indicadores!C42:C57)</f>
        <v>0.31599225116455898</v>
      </c>
      <c r="D16" s="267">
        <f>MAX(Indicadores!D42:D57)</f>
        <v>0.31080688787041671</v>
      </c>
      <c r="E16" s="267">
        <f>MAX(Indicadores!E42:E57)</f>
        <v>0.3313251453597319</v>
      </c>
      <c r="F16" s="267">
        <f>MAX(Indicadores!F42:F57)</f>
        <v>0.22120616227309067</v>
      </c>
      <c r="G16" s="267">
        <f>MAX(Indicadores!G42:G57)</f>
        <v>0.25854246555513793</v>
      </c>
      <c r="H16" s="267" t="e">
        <f>MAX(#REF!)</f>
        <v>#REF!</v>
      </c>
      <c r="I16" s="267">
        <f>MAX(Indicadores!H42:H57)</f>
        <v>0.23469999999999999</v>
      </c>
      <c r="K16" s="243" t="s">
        <v>101</v>
      </c>
      <c r="L16" s="261">
        <f>MAX(Indicadores!L42:L57)</f>
        <v>0.34813466678128829</v>
      </c>
      <c r="M16" s="261">
        <f>MAX(Indicadores!M42:M57)</f>
        <v>0.38605386919377177</v>
      </c>
      <c r="N16" s="261">
        <f>MAX(Indicadores!N42:N57)</f>
        <v>0.67369865251495786</v>
      </c>
      <c r="O16" s="261">
        <f>MAX(Indicadores!O42:O57)</f>
        <v>0.22120616227309067</v>
      </c>
      <c r="P16" s="261">
        <f>MAX(Indicadores!P42:P57)</f>
        <v>0.2666054129920491</v>
      </c>
      <c r="Q16" s="261" t="e">
        <f>MAX(#REF!)</f>
        <v>#REF!</v>
      </c>
      <c r="R16" s="261">
        <f>MAX(Indicadores!Q42:Q57)</f>
        <v>0.23469999999999999</v>
      </c>
      <c r="T16" s="268" t="s">
        <v>101</v>
      </c>
      <c r="U16" s="261">
        <f>MAX(Indicadores!U42:U57)</f>
        <v>0.11737370789185265</v>
      </c>
      <c r="V16" s="261">
        <f>MAX(Indicadores!V42:V57)</f>
        <v>0.14032880583939988</v>
      </c>
      <c r="W16" s="261">
        <f>MAX(Indicadores!W42:W57)</f>
        <v>0.10798345433712611</v>
      </c>
      <c r="X16" s="261">
        <f>MAX(Indicadores!X42:X57)</f>
        <v>9.5717635184153244E-2</v>
      </c>
      <c r="Y16" s="261">
        <f>MAX(Indicadores!Y42:Y57)</f>
        <v>0.12267297313686253</v>
      </c>
      <c r="Z16" s="261" t="e">
        <f>MAX(#REF!)</f>
        <v>#REF!</v>
      </c>
      <c r="AA16" s="261">
        <f>MAX(Indicadores!Z42:Z57)</f>
        <v>0.23469999999999999</v>
      </c>
    </row>
    <row r="17" spans="2:27" x14ac:dyDescent="0.25">
      <c r="B17" s="243" t="s">
        <v>102</v>
      </c>
      <c r="C17" s="267">
        <f>MIN(Indicadores!C42:C57)</f>
        <v>8.7015141101871668E-2</v>
      </c>
      <c r="D17" s="267">
        <f>MIN(Indicadores!D42:D57)</f>
        <v>6.5486072207236914E-2</v>
      </c>
      <c r="E17" s="267">
        <f>MIN(Indicadores!E42:E57)</f>
        <v>4.4498638609782822E-2</v>
      </c>
      <c r="F17" s="267">
        <f>MIN(Indicadores!F42:F57)</f>
        <v>1.3904768198790603E-2</v>
      </c>
      <c r="G17" s="267">
        <f>MIN(Indicadores!G42:G57)</f>
        <v>6.8168851787566501E-2</v>
      </c>
      <c r="H17" s="267" t="e">
        <f>MIN(#REF!)</f>
        <v>#REF!</v>
      </c>
      <c r="I17" s="267">
        <f>MIN(Indicadores!H42:H57)</f>
        <v>8.2899999999999988E-2</v>
      </c>
      <c r="K17" s="243" t="s">
        <v>102</v>
      </c>
      <c r="L17" s="261">
        <f>MIN(Indicadores!L42:L57)</f>
        <v>2.1045428020188557E-2</v>
      </c>
      <c r="M17" s="261">
        <f>MIN(Indicadores!M42:M57)</f>
        <v>3.3770335842621346E-2</v>
      </c>
      <c r="N17" s="261">
        <f>MIN(Indicadores!N42:N57)</f>
        <v>-5.5585550025917634E-2</v>
      </c>
      <c r="O17" s="261">
        <f>MIN(Indicadores!O42:O57)</f>
        <v>-0.16950751644004725</v>
      </c>
      <c r="P17" s="261">
        <f>MIN(Indicadores!P42:P57)</f>
        <v>4.4292405638440766E-2</v>
      </c>
      <c r="Q17" s="261" t="e">
        <f>MIN(#REF!)</f>
        <v>#REF!</v>
      </c>
      <c r="R17" s="261">
        <f>MIN(Indicadores!Q42:Q57)</f>
        <v>8.2899999999999988E-2</v>
      </c>
      <c r="T17" s="268" t="s">
        <v>102</v>
      </c>
      <c r="U17" s="261">
        <f>MIN(Indicadores!U42:U57)</f>
        <v>3.1294479366408598E-2</v>
      </c>
      <c r="V17" s="261">
        <f>MIN(Indicadores!V42:V57)</f>
        <v>1.0710727002998369E-2</v>
      </c>
      <c r="W17" s="261">
        <f>MIN(Indicadores!W42:W57)</f>
        <v>1.2751085140591971E-2</v>
      </c>
      <c r="X17" s="261">
        <f>MIN(Indicadores!X42:X57)</f>
        <v>8.4233091559986692E-3</v>
      </c>
      <c r="Y17" s="261">
        <f>MIN(Indicadores!Y42:Y57)</f>
        <v>0</v>
      </c>
      <c r="Z17" s="261" t="e">
        <f>MIN(#REF!)</f>
        <v>#REF!</v>
      </c>
      <c r="AA17" s="261">
        <f>MIN(Indicadores!Z42:Z57)</f>
        <v>8.2899999999999988E-2</v>
      </c>
    </row>
    <row r="18" spans="2:27" ht="27" thickBot="1" x14ac:dyDescent="0.3">
      <c r="B18" s="241" t="s">
        <v>103</v>
      </c>
      <c r="C18" s="284">
        <f>_xlfn.STDEV.P(Indicadores!C42:C57)</f>
        <v>6.6438563631861125E-2</v>
      </c>
      <c r="D18" s="284">
        <f>_xlfn.STDEV.P(Indicadores!D42:D57)</f>
        <v>6.6860040658496697E-2</v>
      </c>
      <c r="E18" s="284">
        <f>_xlfn.STDEV.P(Indicadores!E42:E57)</f>
        <v>7.1220912000988859E-2</v>
      </c>
      <c r="F18" s="284">
        <f>_xlfn.STDEV.P(Indicadores!F42:F57)</f>
        <v>4.7263498373343781E-2</v>
      </c>
      <c r="G18" s="284">
        <f>_xlfn.STDEV.P(Indicadores!G42:G57)</f>
        <v>5.1526432886094299E-2</v>
      </c>
      <c r="H18" s="284" t="e">
        <f>_xlfn.STDEV.P(#REF!)</f>
        <v>#REF!</v>
      </c>
      <c r="I18" s="284">
        <f>_xlfn.STDEV.P(Indicadores!H42:H57)</f>
        <v>4.137233705554353E-2</v>
      </c>
      <c r="K18" s="241" t="s">
        <v>103</v>
      </c>
      <c r="L18" s="262">
        <f>_xlfn.STDEV.P(Indicadores!L42:L57)</f>
        <v>9.6491712482279487E-2</v>
      </c>
      <c r="M18" s="262">
        <f>_xlfn.STDEV.P(Indicadores!M42:M57)</f>
        <v>8.6633505336019531E-2</v>
      </c>
      <c r="N18" s="262">
        <f>_xlfn.STDEV.P(Indicadores!N42:N57)</f>
        <v>0.17616822656126879</v>
      </c>
      <c r="O18" s="262">
        <f>_xlfn.STDEV.P(Indicadores!O42:O57)</f>
        <v>8.2282362849689969E-2</v>
      </c>
      <c r="P18" s="262">
        <f>_xlfn.STDEV.P(Indicadores!P42:P57)</f>
        <v>5.5872275534927116E-2</v>
      </c>
      <c r="Q18" s="262" t="e">
        <f>_xlfn.STDEV.P(#REF!)</f>
        <v>#REF!</v>
      </c>
      <c r="R18" s="262">
        <f>_xlfn.STDEV.P(Indicadores!Q42:Q57)</f>
        <v>4.137233705554353E-2</v>
      </c>
      <c r="T18" s="269" t="s">
        <v>103</v>
      </c>
      <c r="U18" s="262">
        <f>_xlfn.STDEV.P(Indicadores!U42:U57)</f>
        <v>2.4650227180977546E-2</v>
      </c>
      <c r="V18" s="262">
        <f>_xlfn.STDEV.P(Indicadores!V42:V57)</f>
        <v>3.5450834747185189E-2</v>
      </c>
      <c r="W18" s="262">
        <f>_xlfn.STDEV.P(Indicadores!W42:W57)</f>
        <v>2.4498492430326663E-2</v>
      </c>
      <c r="X18" s="262">
        <f>_xlfn.STDEV.P(Indicadores!X42:X57)</f>
        <v>2.3906843994299026E-2</v>
      </c>
      <c r="Y18" s="262">
        <f>_xlfn.STDEV.P(Indicadores!Y42:Y57)</f>
        <v>3.5000542879563223E-2</v>
      </c>
      <c r="Z18" s="262" t="e">
        <f>_xlfn.STDEV.P(#REF!)</f>
        <v>#REF!</v>
      </c>
      <c r="AA18" s="262">
        <f>_xlfn.STDEV.P(Indicadores!Z42:Z57)</f>
        <v>4.137233705554353E-2</v>
      </c>
    </row>
    <row r="19" spans="2:27" x14ac:dyDescent="0.25">
      <c r="B19" s="335" t="s">
        <v>104</v>
      </c>
      <c r="C19" s="335"/>
      <c r="D19" s="335"/>
      <c r="E19" s="263" t="s">
        <v>105</v>
      </c>
      <c r="F19" s="265"/>
      <c r="G19" s="265"/>
      <c r="H19" s="336"/>
      <c r="I19" s="336"/>
      <c r="K19" s="335" t="s">
        <v>104</v>
      </c>
      <c r="L19" s="335"/>
      <c r="M19" s="335"/>
      <c r="N19" s="263" t="s">
        <v>105</v>
      </c>
      <c r="O19" s="263"/>
      <c r="P19" s="265"/>
      <c r="Q19" s="336"/>
      <c r="R19" s="336"/>
      <c r="T19" s="335" t="s">
        <v>104</v>
      </c>
      <c r="U19" s="335"/>
      <c r="V19" s="335"/>
      <c r="W19" s="263" t="s">
        <v>105</v>
      </c>
      <c r="X19" s="265"/>
      <c r="Y19" s="265"/>
      <c r="Z19" s="336"/>
      <c r="AA19" s="336"/>
    </row>
    <row r="20" spans="2:27" ht="14.4" thickBot="1" x14ac:dyDescent="0.3">
      <c r="B20" s="241"/>
      <c r="C20" s="262"/>
      <c r="D20" s="262"/>
      <c r="E20" s="264" t="s">
        <v>106</v>
      </c>
      <c r="F20" s="262"/>
      <c r="G20" s="262"/>
      <c r="H20" s="337"/>
      <c r="I20" s="337"/>
      <c r="K20" s="241"/>
      <c r="L20" s="262"/>
      <c r="M20" s="262"/>
      <c r="N20" s="264" t="s">
        <v>106</v>
      </c>
      <c r="O20" s="264"/>
      <c r="P20" s="262"/>
      <c r="Q20" s="337"/>
      <c r="R20" s="337"/>
      <c r="T20" s="241"/>
      <c r="U20" s="262"/>
      <c r="V20" s="262"/>
      <c r="W20" s="264" t="s">
        <v>106</v>
      </c>
      <c r="X20" s="262"/>
      <c r="Y20" s="262"/>
      <c r="Z20" s="337"/>
      <c r="AA20" s="337"/>
    </row>
  </sheetData>
  <mergeCells count="24">
    <mergeCell ref="T1:AA1"/>
    <mergeCell ref="K1:R1"/>
    <mergeCell ref="B1:I1"/>
    <mergeCell ref="Q8:R8"/>
    <mergeCell ref="Q9:R9"/>
    <mergeCell ref="H8:I8"/>
    <mergeCell ref="H9:I9"/>
    <mergeCell ref="K8:M8"/>
    <mergeCell ref="T8:V8"/>
    <mergeCell ref="Z8:AA8"/>
    <mergeCell ref="Z9:AA9"/>
    <mergeCell ref="B8:D8"/>
    <mergeCell ref="B19:D19"/>
    <mergeCell ref="H19:I19"/>
    <mergeCell ref="Z19:AA19"/>
    <mergeCell ref="Z20:AA20"/>
    <mergeCell ref="B11:I12"/>
    <mergeCell ref="K11:R12"/>
    <mergeCell ref="T11:AA12"/>
    <mergeCell ref="H20:I20"/>
    <mergeCell ref="K19:M19"/>
    <mergeCell ref="Q19:R19"/>
    <mergeCell ref="Q20:R20"/>
    <mergeCell ref="T19:V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9">
    <tabColor theme="6" tint="0.39997558519241921"/>
  </sheetPr>
  <dimension ref="B2:AA57"/>
  <sheetViews>
    <sheetView zoomScale="90" zoomScaleNormal="90" workbookViewId="0">
      <selection activeCell="T10" sqref="T1:AA1048576"/>
    </sheetView>
  </sheetViews>
  <sheetFormatPr defaultRowHeight="14.4" x14ac:dyDescent="0.3"/>
  <cols>
    <col min="4" max="4" width="11.109375" bestFit="1" customWidth="1"/>
    <col min="8" max="8" width="11.109375" bestFit="1" customWidth="1"/>
    <col min="9" max="9" width="15" bestFit="1" customWidth="1"/>
    <col min="10" max="10" width="13.88671875" bestFit="1" customWidth="1"/>
    <col min="14" max="16" width="10.88671875" customWidth="1"/>
    <col min="17" max="17" width="12.88671875" customWidth="1"/>
    <col min="18" max="18" width="13.109375" customWidth="1"/>
    <col min="20" max="20" width="17.109375" hidden="1" customWidth="1"/>
    <col min="21" max="26" width="0" hidden="1" customWidth="1"/>
    <col min="27" max="27" width="10.5546875" hidden="1" customWidth="1"/>
  </cols>
  <sheetData>
    <row r="2" spans="2:27" s="244" customFormat="1" ht="21" x14ac:dyDescent="0.4">
      <c r="B2" s="247">
        <v>1</v>
      </c>
      <c r="C2" s="246"/>
      <c r="D2" s="246"/>
      <c r="E2" s="246"/>
      <c r="F2" s="246"/>
      <c r="G2" s="246"/>
      <c r="H2" s="246"/>
      <c r="I2" s="246"/>
      <c r="J2" s="246"/>
      <c r="K2" s="247">
        <v>2</v>
      </c>
      <c r="L2" s="246"/>
      <c r="M2" s="245"/>
      <c r="N2" s="245"/>
      <c r="O2" s="245"/>
      <c r="P2" s="245"/>
      <c r="Q2" s="245"/>
      <c r="R2" s="245"/>
      <c r="T2" s="247">
        <v>3</v>
      </c>
      <c r="U2" s="246"/>
      <c r="V2" s="246"/>
      <c r="W2" s="246"/>
      <c r="X2" s="246"/>
      <c r="Y2" s="246"/>
      <c r="Z2" s="246"/>
      <c r="AA2" s="246"/>
    </row>
    <row r="3" spans="2:27" s="244" customFormat="1" x14ac:dyDescent="0.3">
      <c r="B3" s="341" t="s">
        <v>77</v>
      </c>
      <c r="C3" s="342"/>
      <c r="D3" s="342"/>
      <c r="E3" s="342"/>
      <c r="F3" s="342"/>
      <c r="G3" s="342"/>
      <c r="H3" s="342"/>
      <c r="I3" s="343"/>
      <c r="J3" s="255"/>
      <c r="K3" s="341" t="s">
        <v>78</v>
      </c>
      <c r="L3" s="342"/>
      <c r="M3" s="342"/>
      <c r="N3" s="342"/>
      <c r="O3" s="342"/>
      <c r="P3" s="342"/>
      <c r="Q3" s="342"/>
      <c r="R3" s="343"/>
      <c r="S3" s="255"/>
      <c r="T3" s="341" t="s">
        <v>79</v>
      </c>
      <c r="U3" s="342"/>
      <c r="V3" s="342"/>
      <c r="W3" s="342"/>
      <c r="X3" s="342"/>
      <c r="Y3" s="342"/>
      <c r="Z3" s="342"/>
      <c r="AA3" s="343"/>
    </row>
    <row r="4" spans="2:27" s="244" customFormat="1" x14ac:dyDescent="0.3">
      <c r="B4" s="249"/>
      <c r="C4" s="250" t="s">
        <v>80</v>
      </c>
      <c r="D4" s="251" t="s">
        <v>81</v>
      </c>
      <c r="E4" s="252" t="s">
        <v>31</v>
      </c>
      <c r="F4" s="283" t="s">
        <v>35</v>
      </c>
      <c r="G4" s="281" t="s">
        <v>36</v>
      </c>
      <c r="H4" s="282" t="s">
        <v>82</v>
      </c>
      <c r="I4" s="253" t="s">
        <v>83</v>
      </c>
      <c r="J4" s="254"/>
      <c r="K4" s="249"/>
      <c r="L4" s="250" t="s">
        <v>80</v>
      </c>
      <c r="M4" s="251" t="s">
        <v>81</v>
      </c>
      <c r="N4" s="252" t="s">
        <v>31</v>
      </c>
      <c r="O4" s="283" t="s">
        <v>35</v>
      </c>
      <c r="P4" s="281" t="s">
        <v>36</v>
      </c>
      <c r="Q4" s="282" t="s">
        <v>82</v>
      </c>
      <c r="R4" s="270" t="s">
        <v>84</v>
      </c>
      <c r="T4" s="249"/>
      <c r="U4" s="250" t="s">
        <v>80</v>
      </c>
      <c r="V4" s="251" t="s">
        <v>81</v>
      </c>
      <c r="W4" s="252" t="s">
        <v>31</v>
      </c>
      <c r="X4" s="283" t="s">
        <v>35</v>
      </c>
      <c r="Y4" s="281" t="s">
        <v>36</v>
      </c>
      <c r="Z4" s="282" t="s">
        <v>82</v>
      </c>
      <c r="AA4" s="270" t="s">
        <v>85</v>
      </c>
    </row>
    <row r="5" spans="2:27" x14ac:dyDescent="0.3">
      <c r="B5" s="248">
        <v>2002</v>
      </c>
      <c r="C5" s="124">
        <f>'Dados dos Bancos'!U4</f>
        <v>0.22046989990828597</v>
      </c>
      <c r="D5" s="124">
        <f>'Dados dos Bancos'!U22</f>
        <v>0.23359220729103669</v>
      </c>
      <c r="E5" s="124">
        <f>'Dados dos Bancos'!U40</f>
        <v>4.4498638609782822E-2</v>
      </c>
      <c r="F5" s="124">
        <f>'Dados dos Bancos'!U57</f>
        <v>0.1396646397882832</v>
      </c>
      <c r="G5" s="124">
        <f>'Dados dos Bancos'!U74</f>
        <v>0.13745091923624139</v>
      </c>
      <c r="H5" s="242">
        <f>'Dados dos Bancos'!Y4</f>
        <v>0.19210000000000002</v>
      </c>
      <c r="I5" s="242">
        <f>'Dados dos Bancos'!U91</f>
        <v>0.13156745096085548</v>
      </c>
      <c r="K5" s="248">
        <v>2002</v>
      </c>
      <c r="L5" s="124">
        <f>'Dados dos Bancos'!V4</f>
        <v>9.9690607818907442E-2</v>
      </c>
      <c r="M5" s="124">
        <f>'Dados dos Bancos'!V22</f>
        <v>0.17812045104265856</v>
      </c>
      <c r="N5" s="124">
        <f>'Dados dos Bancos'!V40</f>
        <v>4.4498638609782822E-2</v>
      </c>
      <c r="O5" s="124">
        <f>'Dados dos Bancos'!V57</f>
        <v>0.1396646397882832</v>
      </c>
      <c r="P5" s="124">
        <f>'Dados dos Bancos'!V74</f>
        <v>0.10409778981683636</v>
      </c>
      <c r="Q5" s="242">
        <f>H5</f>
        <v>0.19210000000000002</v>
      </c>
      <c r="R5" s="124">
        <f>'Dados dos Bancos'!V91</f>
        <v>8.9389235775656328E-2</v>
      </c>
      <c r="T5" s="248">
        <v>2002</v>
      </c>
      <c r="U5" s="124">
        <f>'Dados dos Bancos'!Q4/'Dados dos Bancos'!F4</f>
        <v>6.395903215260175E-2</v>
      </c>
      <c r="V5" s="124">
        <f>'Dados dos Bancos'!Q22/'Dados dos Bancos'!F22</f>
        <v>4.7902593730803494E-2</v>
      </c>
      <c r="W5" s="124">
        <f>'Dados dos Bancos'!Q40/'Dados dos Bancos'!F40</f>
        <v>1.2751085140591971E-2</v>
      </c>
      <c r="X5" s="124">
        <f>'Dados dos Bancos'!Q57/'Dados dos Bancos'!F57</f>
        <v>8.4233091559986692E-3</v>
      </c>
      <c r="Y5" s="124">
        <f>'Dados dos Bancos'!Q74/'Dados dos Bancos'!F74</f>
        <v>0</v>
      </c>
      <c r="Z5" s="242">
        <v>0.19210000000000002</v>
      </c>
      <c r="AA5" s="242">
        <f>'Dados dos Bancos'!Q91/'Dados dos Bancos'!F91</f>
        <v>3.1370705288067499E-2</v>
      </c>
    </row>
    <row r="6" spans="2:27" x14ac:dyDescent="0.3">
      <c r="B6" s="248">
        <v>2003</v>
      </c>
      <c r="C6" s="124">
        <f>'Dados dos Bancos'!U5</f>
        <v>0.22284592306104448</v>
      </c>
      <c r="D6" s="124">
        <f>'Dados dos Bancos'!U23</f>
        <v>0.31080688787041671</v>
      </c>
      <c r="E6" s="124">
        <f>'Dados dos Bancos'!U41</f>
        <v>8.2343640358463463E-2</v>
      </c>
      <c r="F6" s="124">
        <f>'Dados dos Bancos'!U58</f>
        <v>0.22120616227309067</v>
      </c>
      <c r="G6" s="124">
        <f>'Dados dos Bancos'!U75</f>
        <v>6.8168851787566501E-2</v>
      </c>
      <c r="H6" s="242">
        <f>'Dados dos Bancos'!Y5</f>
        <v>0.23469999999999999</v>
      </c>
      <c r="I6" s="242">
        <f>'Dados dos Bancos'!U92</f>
        <v>0.16925762518088794</v>
      </c>
      <c r="K6" s="248">
        <v>2003</v>
      </c>
      <c r="L6" s="124">
        <f>'Dados dos Bancos'!V5</f>
        <v>0.34813466678128829</v>
      </c>
      <c r="M6" s="124">
        <f>'Dados dos Bancos'!V23</f>
        <v>0.38605386919377177</v>
      </c>
      <c r="N6" s="124">
        <f>'Dados dos Bancos'!V41</f>
        <v>8.2343640358463463E-2</v>
      </c>
      <c r="O6" s="124">
        <f>'Dados dos Bancos'!V58</f>
        <v>0.22120616227309067</v>
      </c>
      <c r="P6" s="124">
        <f>'Dados dos Bancos'!V75</f>
        <v>0.13301516106163641</v>
      </c>
      <c r="Q6" s="242">
        <f t="shared" ref="Q6:Q20" si="0">H6</f>
        <v>0.23469999999999999</v>
      </c>
      <c r="R6" s="124">
        <f>'Dados dos Bancos'!V92</f>
        <v>0.22039972713252201</v>
      </c>
      <c r="T6" s="248">
        <v>2003</v>
      </c>
      <c r="U6" s="124">
        <f>'Dados dos Bancos'!Q5/'Dados dos Bancos'!F5</f>
        <v>6.2188485419430513E-2</v>
      </c>
      <c r="V6" s="124">
        <f>'Dados dos Bancos'!Q23/'Dados dos Bancos'!F23</f>
        <v>0.14032880583939988</v>
      </c>
      <c r="W6" s="124">
        <f>'Dados dos Bancos'!Q41/'Dados dos Bancos'!F41</f>
        <v>1.9171260632713901E-2</v>
      </c>
      <c r="X6" s="124">
        <f>'Dados dos Bancos'!Q58/'Dados dos Bancos'!F58</f>
        <v>9.5717635184153244E-2</v>
      </c>
      <c r="Y6" s="124">
        <f>'Dados dos Bancos'!Q75/'Dados dos Bancos'!F75</f>
        <v>1.5618382564833283E-2</v>
      </c>
      <c r="Z6" s="242">
        <v>0.23469999999999999</v>
      </c>
      <c r="AA6" s="242">
        <f>'Dados dos Bancos'!Q92/'Dados dos Bancos'!F92</f>
        <v>5.8406395775765473E-2</v>
      </c>
    </row>
    <row r="7" spans="2:27" x14ac:dyDescent="0.3">
      <c r="B7" s="248">
        <v>2004</v>
      </c>
      <c r="C7" s="124">
        <f>'Dados dos Bancos'!U6</f>
        <v>0.23060384080541937</v>
      </c>
      <c r="D7" s="124">
        <f>'Dados dos Bancos'!U24</f>
        <v>0.22835224417926156</v>
      </c>
      <c r="E7" s="124">
        <f>'Dados dos Bancos'!U42</f>
        <v>0.11106364972413794</v>
      </c>
      <c r="F7" s="124">
        <f>'Dados dos Bancos'!U59</f>
        <v>7.9202724798270993E-2</v>
      </c>
      <c r="G7" s="124">
        <f>'Dados dos Bancos'!U76</f>
        <v>0.11452846040035894</v>
      </c>
      <c r="H7" s="242">
        <f>'Dados dos Bancos'!Y6</f>
        <v>0.1638</v>
      </c>
      <c r="I7" s="242">
        <f>'Dados dos Bancos'!U93</f>
        <v>0.16823967705565512</v>
      </c>
      <c r="K7" s="248">
        <v>2004</v>
      </c>
      <c r="L7" s="124">
        <f>'Dados dos Bancos'!V6</f>
        <v>0.21647793468388554</v>
      </c>
      <c r="M7" s="124">
        <f>'Dados dos Bancos'!V24</f>
        <v>0.22770987371968202</v>
      </c>
      <c r="N7" s="124">
        <f>'Dados dos Bancos'!V42</f>
        <v>0.11106364972413794</v>
      </c>
      <c r="O7" s="124">
        <f>'Dados dos Bancos'!V59</f>
        <v>7.9202724798270993E-2</v>
      </c>
      <c r="P7" s="124">
        <f>'Dados dos Bancos'!V76</f>
        <v>9.8992042000823177E-2</v>
      </c>
      <c r="Q7" s="242">
        <f t="shared" si="0"/>
        <v>0.1638</v>
      </c>
      <c r="R7" s="124">
        <f>'Dados dos Bancos'!V93</f>
        <v>0.16330522274506448</v>
      </c>
      <c r="T7" s="248">
        <v>2004</v>
      </c>
      <c r="U7" s="124">
        <f>'Dados dos Bancos'!Q6/'Dados dos Bancos'!F6</f>
        <v>6.7651229955086101E-2</v>
      </c>
      <c r="V7" s="124">
        <f>'Dados dos Bancos'!Q24/'Dados dos Bancos'!F24</f>
        <v>7.8758156202916124E-2</v>
      </c>
      <c r="W7" s="124">
        <f>'Dados dos Bancos'!Q42/'Dados dos Bancos'!F42</f>
        <v>7.6444951275022432E-2</v>
      </c>
      <c r="X7" s="124">
        <f>'Dados dos Bancos'!Q59/'Dados dos Bancos'!F59</f>
        <v>3.7221252883415344E-2</v>
      </c>
      <c r="Y7" s="124">
        <f>'Dados dos Bancos'!Q76/'Dados dos Bancos'!F76</f>
        <v>3.9323747040031748E-2</v>
      </c>
      <c r="Z7" s="242">
        <v>0.1638</v>
      </c>
      <c r="AA7" s="242">
        <f>'Dados dos Bancos'!Q93/'Dados dos Bancos'!F93</f>
        <v>7.1185768819277559E-2</v>
      </c>
    </row>
    <row r="8" spans="2:27" x14ac:dyDescent="0.3">
      <c r="B8" s="248">
        <v>2005</v>
      </c>
      <c r="C8" s="124">
        <f>'Dados dos Bancos'!U7</f>
        <v>0.26835989515258379</v>
      </c>
      <c r="D8" s="124">
        <f>'Dados dos Bancos'!U25</f>
        <v>0.28367204261862444</v>
      </c>
      <c r="E8" s="124">
        <f>'Dados dos Bancos'!U43</f>
        <v>0.20133629450206403</v>
      </c>
      <c r="F8" s="124">
        <f>'Dados dos Bancos'!U60</f>
        <v>0.16262464614603589</v>
      </c>
      <c r="G8" s="124">
        <f>'Dados dos Bancos'!U77</f>
        <v>0.1156747750333403</v>
      </c>
      <c r="H8" s="242">
        <f>'Dados dos Bancos'!Y7</f>
        <v>0.1913</v>
      </c>
      <c r="I8" s="242">
        <f>'Dados dos Bancos'!U94</f>
        <v>0.23400718289322892</v>
      </c>
      <c r="K8" s="248">
        <v>2005</v>
      </c>
      <c r="L8" s="124">
        <f>'Dados dos Bancos'!V7</f>
        <v>0.27400297071986657</v>
      </c>
      <c r="M8" s="124">
        <f>'Dados dos Bancos'!V25</f>
        <v>0.27627185834953411</v>
      </c>
      <c r="N8" s="124">
        <f>'Dados dos Bancos'!V43</f>
        <v>0.20133629450206403</v>
      </c>
      <c r="O8" s="124">
        <f>'Dados dos Bancos'!V60</f>
        <v>0.16262464614603589</v>
      </c>
      <c r="P8" s="124">
        <f>'Dados dos Bancos'!V77</f>
        <v>0.12261734886433499</v>
      </c>
      <c r="Q8" s="242">
        <f t="shared" si="0"/>
        <v>0.1913</v>
      </c>
      <c r="R8" s="124">
        <f>'Dados dos Bancos'!V94</f>
        <v>0.23449920354459497</v>
      </c>
      <c r="T8" s="248">
        <v>2005</v>
      </c>
      <c r="U8" s="124">
        <f>'Dados dos Bancos'!Q7/'Dados dos Bancos'!F7</f>
        <v>8.8907520312459729E-2</v>
      </c>
      <c r="V8" s="124">
        <f>'Dados dos Bancos'!Q25/'Dados dos Bancos'!F25</f>
        <v>9.2681007985219208E-2</v>
      </c>
      <c r="W8" s="124">
        <f>'Dados dos Bancos'!Q43/'Dados dos Bancos'!F43</f>
        <v>8.5991369419877783E-2</v>
      </c>
      <c r="X8" s="124">
        <f>'Dados dos Bancos'!Q60/'Dados dos Bancos'!F60</f>
        <v>7.5855598988273168E-2</v>
      </c>
      <c r="Y8" s="124">
        <f>'Dados dos Bancos'!Q77/'Dados dos Bancos'!F77</f>
        <v>2.1270274923036684E-2</v>
      </c>
      <c r="Z8" s="242">
        <v>0.1913</v>
      </c>
      <c r="AA8" s="242">
        <f>'Dados dos Bancos'!Q94/'Dados dos Bancos'!F94</f>
        <v>8.5691594754609191E-2</v>
      </c>
    </row>
    <row r="9" spans="2:27" x14ac:dyDescent="0.3">
      <c r="B9" s="248">
        <v>2006</v>
      </c>
      <c r="C9" s="124">
        <f>'Dados dos Bancos'!U8</f>
        <v>0.31443756165365699</v>
      </c>
      <c r="D9" s="124">
        <f>'Dados dos Bancos'!U26</f>
        <v>0.27852604454707869</v>
      </c>
      <c r="E9" s="124">
        <f>'Dados dos Bancos'!U44</f>
        <v>0.36383781550506455</v>
      </c>
      <c r="F9" s="124">
        <f>'Dados dos Bancos'!U61</f>
        <v>0.10038550232371408</v>
      </c>
      <c r="G9" s="124">
        <f>'Dados dos Bancos'!U78</f>
        <v>0.14063402335576139</v>
      </c>
      <c r="H9" s="242">
        <f>'Dados dos Bancos'!Y8</f>
        <v>0.14910000000000001</v>
      </c>
      <c r="I9" s="242">
        <f>'Dados dos Bancos'!U95</f>
        <v>0.313738177611883</v>
      </c>
      <c r="K9" s="248">
        <v>2006</v>
      </c>
      <c r="L9" s="124">
        <f>'Dados dos Bancos'!V8</f>
        <v>0.3275644615406641</v>
      </c>
      <c r="M9" s="124">
        <f>'Dados dos Bancos'!V26</f>
        <v>0.28211099394598427</v>
      </c>
      <c r="N9" s="124">
        <f>'Dados dos Bancos'!V44</f>
        <v>0.36383781550506455</v>
      </c>
      <c r="O9" s="124">
        <f>'Dados dos Bancos'!V61</f>
        <v>0.10038550232371408</v>
      </c>
      <c r="P9" s="124">
        <f>'Dados dos Bancos'!V78</f>
        <v>0.167132882413394</v>
      </c>
      <c r="Q9" s="242">
        <f t="shared" si="0"/>
        <v>0.14910000000000001</v>
      </c>
      <c r="R9" s="124">
        <f>'Dados dos Bancos'!V95</f>
        <v>0.31943379512247966</v>
      </c>
      <c r="T9" s="248">
        <v>2006</v>
      </c>
      <c r="U9" s="124">
        <f>'Dados dos Bancos'!Q8/'Dados dos Bancos'!F8</f>
        <v>0.11646069277565435</v>
      </c>
      <c r="V9" s="124">
        <f>'Dados dos Bancos'!Q26/'Dados dos Bancos'!F26</f>
        <v>0.12480574398827331</v>
      </c>
      <c r="W9" s="124">
        <f>'Dados dos Bancos'!Q44/'Dados dos Bancos'!F44</f>
        <v>7.8760031070719411E-2</v>
      </c>
      <c r="X9" s="124">
        <f>'Dados dos Bancos'!Q61/'Dados dos Bancos'!F61</f>
        <v>6.3768840967812185E-2</v>
      </c>
      <c r="Y9" s="124">
        <f>'Dados dos Bancos'!Q78/'Dados dos Bancos'!F78</f>
        <v>6.2915516245237446E-2</v>
      </c>
      <c r="Z9" s="242">
        <v>0.14910000000000001</v>
      </c>
      <c r="AA9" s="242">
        <f>'Dados dos Bancos'!Q95/'Dados dos Bancos'!F95</f>
        <v>9.8790810509251883E-2</v>
      </c>
    </row>
    <row r="10" spans="2:27" x14ac:dyDescent="0.3">
      <c r="B10" s="248">
        <v>2007</v>
      </c>
      <c r="C10" s="124">
        <f>'Dados dos Bancos'!U9</f>
        <v>0.22620053142715479</v>
      </c>
      <c r="D10" s="124">
        <f>'Dados dos Bancos'!U27</f>
        <v>0.25395081711049755</v>
      </c>
      <c r="E10" s="124">
        <f>'Dados dos Bancos'!U45</f>
        <v>0.33232845502743591</v>
      </c>
      <c r="F10" s="124">
        <f>'Dados dos Bancos'!U62</f>
        <v>0.1027956204671738</v>
      </c>
      <c r="G10" s="124">
        <f>'Dados dos Bancos'!U79</f>
        <v>0.14154173414121873</v>
      </c>
      <c r="H10" s="242">
        <f>'Dados dos Bancos'!Y9</f>
        <v>0.12039999999999999</v>
      </c>
      <c r="I10" s="242">
        <f>'Dados dos Bancos'!U96</f>
        <v>0.27116912195229115</v>
      </c>
      <c r="K10" s="248">
        <v>2007</v>
      </c>
      <c r="L10" s="124">
        <f>'Dados dos Bancos'!V9</f>
        <v>0.22474998421041845</v>
      </c>
      <c r="M10" s="124">
        <f>'Dados dos Bancos'!V27</f>
        <v>0.2521082785796448</v>
      </c>
      <c r="N10" s="124">
        <f>'Dados dos Bancos'!V45</f>
        <v>0.33232845502743591</v>
      </c>
      <c r="O10" s="124">
        <f>'Dados dos Bancos'!V62</f>
        <v>0.1027956204671738</v>
      </c>
      <c r="P10" s="124">
        <f>'Dados dos Bancos'!V79</f>
        <v>0.13889053193444514</v>
      </c>
      <c r="Q10" s="242">
        <f t="shared" si="0"/>
        <v>0.12039999999999999</v>
      </c>
      <c r="R10" s="124">
        <f>'Dados dos Bancos'!V96</f>
        <v>0.2702863772310008</v>
      </c>
      <c r="T10" s="248">
        <v>2007</v>
      </c>
      <c r="U10" s="124">
        <f>'Dados dos Bancos'!Q9/'Dados dos Bancos'!F9</f>
        <v>8.0280563926709375E-2</v>
      </c>
      <c r="V10" s="124">
        <f>'Dados dos Bancos'!Q27/'Dados dos Bancos'!F27</f>
        <v>0.10500156387136901</v>
      </c>
      <c r="W10" s="124">
        <f>'Dados dos Bancos'!Q45/'Dados dos Bancos'!F45</f>
        <v>6.9694443162736958E-2</v>
      </c>
      <c r="X10" s="124">
        <f>'Dados dos Bancos'!Q62/'Dados dos Bancos'!F62</f>
        <v>3.7141386036435783E-2</v>
      </c>
      <c r="Y10" s="124">
        <f>'Dados dos Bancos'!Q79/'Dados dos Bancos'!F79</f>
        <v>7.2242790791133091E-2</v>
      </c>
      <c r="Z10" s="242">
        <v>0.12039999999999999</v>
      </c>
      <c r="AA10" s="242">
        <f>'Dados dos Bancos'!Q96/'Dados dos Bancos'!F96</f>
        <v>7.8673649250465466E-2</v>
      </c>
    </row>
    <row r="11" spans="2:27" x14ac:dyDescent="0.3">
      <c r="B11" s="248">
        <v>2008</v>
      </c>
      <c r="C11" s="124">
        <f>'Dados dos Bancos'!U10</f>
        <v>0.31599225116455898</v>
      </c>
      <c r="D11" s="124">
        <f>'Dados dos Bancos'!U28</f>
        <v>0.33346435912992972</v>
      </c>
      <c r="E11" s="124">
        <f>'Dados dos Bancos'!U46</f>
        <v>0.21171719744568093</v>
      </c>
      <c r="F11" s="124">
        <f>'Dados dos Bancos'!U63</f>
        <v>0.11718212414790517</v>
      </c>
      <c r="G11" s="124">
        <f>'Dados dos Bancos'!U80</f>
        <v>0.24766280649102448</v>
      </c>
      <c r="H11" s="242">
        <f>'Dados dos Bancos'!Y10</f>
        <v>0.1245</v>
      </c>
      <c r="I11" s="242">
        <f>'Dados dos Bancos'!U97</f>
        <v>0.26671947333610341</v>
      </c>
      <c r="K11" s="248">
        <v>2008</v>
      </c>
      <c r="L11" s="124">
        <f>'Dados dos Bancos'!V10</f>
        <v>0.31056925811988417</v>
      </c>
      <c r="M11" s="124">
        <f>'Dados dos Bancos'!V28</f>
        <v>0.32470768545513617</v>
      </c>
      <c r="N11" s="124">
        <f>'Dados dos Bancos'!V46</f>
        <v>0.21815860383740807</v>
      </c>
      <c r="O11" s="124">
        <f>'Dados dos Bancos'!V63</f>
        <v>0.11718212414790517</v>
      </c>
      <c r="P11" s="124">
        <f>'Dados dos Bancos'!V80</f>
        <v>0.2457645812463346</v>
      </c>
      <c r="Q11" s="242">
        <f t="shared" si="0"/>
        <v>0.1245</v>
      </c>
      <c r="R11" s="124">
        <f>'Dados dos Bancos'!V97</f>
        <v>0.26599224827674656</v>
      </c>
      <c r="T11" s="248">
        <v>2008</v>
      </c>
      <c r="U11" s="124">
        <f>'Dados dos Bancos'!Q10/'Dados dos Bancos'!F10</f>
        <v>0.11737370789185265</v>
      </c>
      <c r="V11" s="124">
        <f>'Dados dos Bancos'!Q28/'Dados dos Bancos'!F28</f>
        <v>0.12385115079730524</v>
      </c>
      <c r="W11" s="124">
        <f>'Dados dos Bancos'!Q46/'Dados dos Bancos'!F46</f>
        <v>5.2221545571922733E-2</v>
      </c>
      <c r="X11" s="124">
        <f>'Dados dos Bancos'!Q63/'Dados dos Bancos'!F63</f>
        <v>5.818598960413289E-2</v>
      </c>
      <c r="Y11" s="124">
        <f>'Dados dos Bancos'!Q80/'Dados dos Bancos'!F80</f>
        <v>0.12267297313686253</v>
      </c>
      <c r="Z11" s="242">
        <v>0.1245</v>
      </c>
      <c r="AA11" s="242">
        <f>'Dados dos Bancos'!Q97/'Dados dos Bancos'!F97</f>
        <v>9.0168881618650817E-2</v>
      </c>
    </row>
    <row r="12" spans="2:27" x14ac:dyDescent="0.3">
      <c r="B12" s="248">
        <v>2009</v>
      </c>
      <c r="C12" s="124">
        <f>'Dados dos Bancos'!U11</f>
        <v>0.30653519511358174</v>
      </c>
      <c r="D12" s="124">
        <f>'Dados dos Bancos'!U29</f>
        <v>0.23214540979789222</v>
      </c>
      <c r="E12" s="124">
        <f>'Dados dos Bancos'!U47</f>
        <v>0.25466345235384324</v>
      </c>
      <c r="F12" s="124">
        <f>'Dados dos Bancos'!U64</f>
        <v>1.3904768198790603E-2</v>
      </c>
      <c r="G12" s="124">
        <f>'Dados dos Bancos'!U81</f>
        <v>0.23720054859590248</v>
      </c>
      <c r="H12" s="242">
        <f>'Dados dos Bancos'!Y11</f>
        <v>0.1013</v>
      </c>
      <c r="I12" s="242">
        <f>'Dados dos Bancos'!U98</f>
        <v>0.26018160094184917</v>
      </c>
      <c r="K12" s="248">
        <v>2009</v>
      </c>
      <c r="L12" s="124">
        <f>'Dados dos Bancos'!V11</f>
        <v>0.30869309550176899</v>
      </c>
      <c r="M12" s="124">
        <f>'Dados dos Bancos'!V29</f>
        <v>0.23618240437516588</v>
      </c>
      <c r="N12" s="124">
        <f>'Dados dos Bancos'!V47</f>
        <v>0.25327045742703919</v>
      </c>
      <c r="O12" s="124">
        <f>'Dados dos Bancos'!V64</f>
        <v>1.3904768198790603E-2</v>
      </c>
      <c r="P12" s="124">
        <f>'Dados dos Bancos'!V81</f>
        <v>0.2666054129920491</v>
      </c>
      <c r="Q12" s="242">
        <f t="shared" si="0"/>
        <v>0.1013</v>
      </c>
      <c r="R12" s="124">
        <f>'Dados dos Bancos'!V98</f>
        <v>0.26196961240105326</v>
      </c>
      <c r="T12" s="248">
        <v>2009</v>
      </c>
      <c r="U12" s="124">
        <f>'Dados dos Bancos'!Q11/'Dados dos Bancos'!F11</f>
        <v>0.1126027154012514</v>
      </c>
      <c r="V12" s="124">
        <f>'Dados dos Bancos'!Q29/'Dados dos Bancos'!F29</f>
        <v>5.0383805495030458E-2</v>
      </c>
      <c r="W12" s="124">
        <f>'Dados dos Bancos'!Q47/'Dados dos Bancos'!F47</f>
        <v>5.7526511829791495E-2</v>
      </c>
      <c r="X12" s="124">
        <f>'Dados dos Bancos'!Q64/'Dados dos Bancos'!F64</f>
        <v>1.4573729864998908E-2</v>
      </c>
      <c r="Y12" s="124">
        <f>'Dados dos Bancos'!Q81/'Dados dos Bancos'!F81</f>
        <v>0.11600477632102667</v>
      </c>
      <c r="Z12" s="242">
        <v>0.1013</v>
      </c>
      <c r="AA12" s="242">
        <f>'Dados dos Bancos'!Q98/'Dados dos Bancos'!F98</f>
        <v>7.5721398447233967E-2</v>
      </c>
    </row>
    <row r="13" spans="2:27" x14ac:dyDescent="0.3">
      <c r="B13" s="248">
        <v>2010</v>
      </c>
      <c r="C13" s="124">
        <f>'Dados dos Bancos'!U12</f>
        <v>0.25950450321596835</v>
      </c>
      <c r="D13" s="124">
        <f>'Dados dos Bancos'!U30</f>
        <v>0.26342313245675397</v>
      </c>
      <c r="E13" s="124">
        <f>'Dados dos Bancos'!U48</f>
        <v>0.21198775215482785</v>
      </c>
      <c r="F13" s="124">
        <f>'Dados dos Bancos'!U65</f>
        <v>7.4218531792541231E-2</v>
      </c>
      <c r="G13" s="124">
        <f>'Dados dos Bancos'!U82</f>
        <v>0.14756957720391439</v>
      </c>
      <c r="H13" s="242">
        <f>'Dados dos Bancos'!Y12</f>
        <v>9.9000000000000005E-2</v>
      </c>
      <c r="I13" s="242">
        <f>'Dados dos Bancos'!U99</f>
        <v>0.22967471144840509</v>
      </c>
      <c r="K13" s="248">
        <v>2010</v>
      </c>
      <c r="L13" s="124">
        <f>'Dados dos Bancos'!V12</f>
        <v>0.26387876546501954</v>
      </c>
      <c r="M13" s="124">
        <f>'Dados dos Bancos'!V30</f>
        <v>0.24897499947254648</v>
      </c>
      <c r="N13" s="124">
        <f>'Dados dos Bancos'!V48</f>
        <v>0.83580011908607355</v>
      </c>
      <c r="O13" s="124">
        <f>'Dados dos Bancos'!V65</f>
        <v>7.4218531792541231E-2</v>
      </c>
      <c r="P13" s="124">
        <f>'Dados dos Bancos'!V82</f>
        <v>0.11557005154982408</v>
      </c>
      <c r="Q13" s="242">
        <f t="shared" si="0"/>
        <v>9.9000000000000005E-2</v>
      </c>
      <c r="R13" s="124">
        <f>'Dados dos Bancos'!V99</f>
        <v>0.54627619210822487</v>
      </c>
      <c r="T13" s="248">
        <v>2010</v>
      </c>
      <c r="U13" s="124">
        <f>'Dados dos Bancos'!Q12/'Dados dos Bancos'!F12</f>
        <v>9.7406383640620361E-2</v>
      </c>
      <c r="V13" s="124">
        <f>'Dados dos Bancos'!Q30/'Dados dos Bancos'!F30</f>
        <v>0.11001778201004732</v>
      </c>
      <c r="W13" s="124">
        <f>'Dados dos Bancos'!Q48/'Dados dos Bancos'!F48</f>
        <v>5.2766309305574195E-2</v>
      </c>
      <c r="X13" s="124">
        <f>'Dados dos Bancos'!Q65/'Dados dos Bancos'!F65</f>
        <v>5.7381211949450041E-2</v>
      </c>
      <c r="Y13" s="124">
        <f>'Dados dos Bancos'!Q82/'Dados dos Bancos'!F82</f>
        <v>9.4845632602747032E-2</v>
      </c>
      <c r="Z13" s="242">
        <v>9.9000000000000005E-2</v>
      </c>
      <c r="AA13" s="242">
        <f>'Dados dos Bancos'!Q99/'Dados dos Bancos'!F99</f>
        <v>7.285786897372297E-2</v>
      </c>
    </row>
    <row r="14" spans="2:27" x14ac:dyDescent="0.3">
      <c r="B14" s="248">
        <v>2011</v>
      </c>
      <c r="C14" s="124">
        <f>'Dados dos Bancos'!U13</f>
        <v>0.22243860128405202</v>
      </c>
      <c r="D14" s="124">
        <f>'Dados dos Bancos'!U31</f>
        <v>0.29615841670159693</v>
      </c>
      <c r="E14" s="124">
        <f>'Dados dos Bancos'!U49</f>
        <v>0.14258629872934714</v>
      </c>
      <c r="F14" s="124">
        <f>'Dados dos Bancos'!U66</f>
        <v>4.0626429258599203E-2</v>
      </c>
      <c r="G14" s="124">
        <f>'Dados dos Bancos'!U83</f>
        <v>0.1396984182032765</v>
      </c>
      <c r="H14" s="242">
        <f>'Dados dos Bancos'!Y13</f>
        <v>0.1176</v>
      </c>
      <c r="I14" s="242">
        <f>'Dados dos Bancos'!U100</f>
        <v>0.18579580747692695</v>
      </c>
      <c r="K14" s="248">
        <v>2011</v>
      </c>
      <c r="L14" s="124">
        <f>'Dados dos Bancos'!V13</f>
        <v>0.22714211946602642</v>
      </c>
      <c r="M14" s="124">
        <f>'Dados dos Bancos'!V31</f>
        <v>0.29784421142380224</v>
      </c>
      <c r="N14" s="124">
        <f>'Dados dos Bancos'!V49</f>
        <v>-7.6227304799323881E-2</v>
      </c>
      <c r="O14" s="124">
        <f>'Dados dos Bancos'!V66</f>
        <v>4.2855070818834447E-2</v>
      </c>
      <c r="P14" s="124">
        <f>'Dados dos Bancos'!V83</f>
        <v>0.13970684983725837</v>
      </c>
      <c r="Q14" s="242">
        <f t="shared" si="0"/>
        <v>0.1176</v>
      </c>
      <c r="R14" s="124">
        <f>'Dados dos Bancos'!V100</f>
        <v>6.8873250991913479E-2</v>
      </c>
      <c r="T14" s="248">
        <v>2011</v>
      </c>
      <c r="U14" s="124">
        <f>'Dados dos Bancos'!Q13/'Dados dos Bancos'!F13</f>
        <v>8.3919439628532114E-2</v>
      </c>
      <c r="V14" s="124">
        <f>'Dados dos Bancos'!Q31/'Dados dos Bancos'!F31</f>
        <v>0.14152825618642448</v>
      </c>
      <c r="W14" s="124">
        <f>'Dados dos Bancos'!Q49/'Dados dos Bancos'!F49</f>
        <v>3.4999101166673853E-2</v>
      </c>
      <c r="X14" s="124">
        <f>'Dados dos Bancos'!Q66/'Dados dos Bancos'!F66</f>
        <v>4.0579770087606597E-2</v>
      </c>
      <c r="Y14" s="124">
        <f>'Dados dos Bancos'!Q83/'Dados dos Bancos'!F83</f>
        <v>7.2644804741276978E-2</v>
      </c>
      <c r="Z14" s="242">
        <v>0.1176</v>
      </c>
      <c r="AA14" s="242">
        <f>'Dados dos Bancos'!Q100/'Dados dos Bancos'!F100</f>
        <v>6.7439897068355376E-2</v>
      </c>
    </row>
    <row r="15" spans="2:27" x14ac:dyDescent="0.3">
      <c r="B15" s="248">
        <v>2012</v>
      </c>
      <c r="C15" s="124">
        <f>'Dados dos Bancos'!U14</f>
        <v>0.19608770713669094</v>
      </c>
      <c r="D15" s="124">
        <f>'Dados dos Bancos'!U32</f>
        <v>0.27190864452909524</v>
      </c>
      <c r="E15" s="124">
        <f>'Dados dos Bancos'!U50</f>
        <v>0.14640479128441347</v>
      </c>
      <c r="F15" s="124">
        <f>'Dados dos Bancos'!U67</f>
        <v>8.6953391713781775E-2</v>
      </c>
      <c r="G15" s="124">
        <f>'Dados dos Bancos'!U84</f>
        <v>0.32732937715055105</v>
      </c>
      <c r="H15" s="242">
        <f>'Dados dos Bancos'!Y14</f>
        <v>8.6199999999999999E-2</v>
      </c>
      <c r="I15" s="242">
        <f>'Dados dos Bancos'!U101</f>
        <v>0.18798352588683911</v>
      </c>
      <c r="K15" s="248">
        <v>2012</v>
      </c>
      <c r="L15" s="124">
        <f>'Dados dos Bancos'!V14</f>
        <v>0.20727788315078918</v>
      </c>
      <c r="M15" s="124">
        <f>'Dados dos Bancos'!V32</f>
        <v>0.24678416876438478</v>
      </c>
      <c r="N15" s="124">
        <f>'Dados dos Bancos'!V50</f>
        <v>2.4907616251323976E-2</v>
      </c>
      <c r="O15" s="124">
        <f>'Dados dos Bancos'!V67</f>
        <v>6.5940821187900789E-2</v>
      </c>
      <c r="P15" s="124">
        <f>'Dados dos Bancos'!V84</f>
        <v>0.2211120530593926</v>
      </c>
      <c r="Q15" s="242">
        <f t="shared" si="0"/>
        <v>8.6199999999999999E-2</v>
      </c>
      <c r="R15" s="124">
        <f>'Dados dos Bancos'!V101</f>
        <v>0.12754945141102506</v>
      </c>
      <c r="T15" s="248">
        <v>2012</v>
      </c>
      <c r="U15" s="124">
        <f>'Dados dos Bancos'!Q14/'Dados dos Bancos'!F14</f>
        <v>7.4511562270945922E-2</v>
      </c>
      <c r="V15" s="124">
        <f>'Dados dos Bancos'!Q32/'Dados dos Bancos'!F32</f>
        <v>0.20707525227338178</v>
      </c>
      <c r="W15" s="124">
        <f>'Dados dos Bancos'!Q50/'Dados dos Bancos'!F50</f>
        <v>9.1068781395331352E-2</v>
      </c>
      <c r="X15" s="124">
        <f>'Dados dos Bancos'!Q67/'Dados dos Bancos'!F67</f>
        <v>4.0016359348934216E-2</v>
      </c>
      <c r="Y15" s="124">
        <f>'Dados dos Bancos'!Q84/'Dados dos Bancos'!F84</f>
        <v>7.1042730864376014E-2</v>
      </c>
      <c r="Z15" s="242">
        <v>8.6199999999999999E-2</v>
      </c>
      <c r="AA15" s="242">
        <f>'Dados dos Bancos'!Q101/'Dados dos Bancos'!F101</f>
        <v>0.1088804022174039</v>
      </c>
    </row>
    <row r="16" spans="2:27" x14ac:dyDescent="0.3">
      <c r="B16" s="248">
        <v>2013</v>
      </c>
      <c r="C16" s="124">
        <f>'Dados dos Bancos'!U15</f>
        <v>0.22640491018605269</v>
      </c>
      <c r="D16" s="124">
        <f>'Dados dos Bancos'!U33</f>
        <v>0.22251655944756329</v>
      </c>
      <c r="E16" s="124">
        <f>'Dados dos Bancos'!U51</f>
        <v>0.14735686945327545</v>
      </c>
      <c r="F16" s="124">
        <f>'Dados dos Bancos'!U68</f>
        <v>0.10116414880661027</v>
      </c>
      <c r="G16" s="124">
        <f>'Dados dos Bancos'!U85</f>
        <v>0.12008934954291052</v>
      </c>
      <c r="H16" s="242">
        <f>'Dados dos Bancos'!Y15</f>
        <v>8.2899999999999988E-2</v>
      </c>
      <c r="I16" s="242">
        <f>'Dados dos Bancos'!U102</f>
        <v>0.18821135845633497</v>
      </c>
      <c r="K16" s="248">
        <v>2013</v>
      </c>
      <c r="L16" s="124">
        <f>'Dados dos Bancos'!V15</f>
        <v>0.22666561164052138</v>
      </c>
      <c r="M16" s="124">
        <f>'Dados dos Bancos'!V33</f>
        <v>0.24639110306025749</v>
      </c>
      <c r="N16" s="124">
        <f>'Dados dos Bancos'!V51</f>
        <v>4.7632057042120014E-2</v>
      </c>
      <c r="O16" s="124">
        <f>'Dados dos Bancos'!V68</f>
        <v>-0.16950751644004725</v>
      </c>
      <c r="P16" s="124">
        <f>'Dados dos Bancos'!V85</f>
        <v>0.19095218660769359</v>
      </c>
      <c r="Q16" s="242">
        <f t="shared" si="0"/>
        <v>8.2899999999999988E-2</v>
      </c>
      <c r="R16" s="124">
        <f>'Dados dos Bancos'!V102</f>
        <v>0.14929298313554534</v>
      </c>
      <c r="T16" s="248">
        <v>2013</v>
      </c>
      <c r="U16" s="124">
        <f>'Dados dos Bancos'!Q15/'Dados dos Bancos'!F15</f>
        <v>8.7569397028727583E-2</v>
      </c>
      <c r="V16" s="124">
        <f>'Dados dos Bancos'!Q33/'Dados dos Bancos'!F33</f>
        <v>0.11584315576667109</v>
      </c>
      <c r="W16" s="124">
        <f>'Dados dos Bancos'!Q51/'Dados dos Bancos'!F51</f>
        <v>6.2807517878011393E-2</v>
      </c>
      <c r="X16" s="124">
        <f>'Dados dos Bancos'!Q68/'Dados dos Bancos'!F68</f>
        <v>3.0521958850309602E-2</v>
      </c>
      <c r="Y16" s="124">
        <f>'Dados dos Bancos'!Q85/'Dados dos Bancos'!F85</f>
        <v>7.5661796876799026E-2</v>
      </c>
      <c r="Z16" s="242">
        <v>8.2899999999999988E-2</v>
      </c>
      <c r="AA16" s="242">
        <f>'Dados dos Bancos'!Q102/'Dados dos Bancos'!F102</f>
        <v>8.319896449191308E-2</v>
      </c>
    </row>
    <row r="17" spans="2:27" x14ac:dyDescent="0.3">
      <c r="B17" s="248">
        <v>2014</v>
      </c>
      <c r="C17" s="124">
        <f>'Dados dos Bancos'!U16</f>
        <v>0.14488579634263704</v>
      </c>
      <c r="D17" s="124">
        <f>'Dados dos Bancos'!U34</f>
        <v>0.14552611717920383</v>
      </c>
      <c r="E17" s="124">
        <f>'Dados dos Bancos'!U52</f>
        <v>0.18812109088208195</v>
      </c>
      <c r="F17" s="124">
        <f>'Dados dos Bancos'!U69</f>
        <v>8.4820528854318483E-2</v>
      </c>
      <c r="G17" s="124">
        <f>'Dados dos Bancos'!U86</f>
        <v>0.17675692022836348</v>
      </c>
      <c r="H17" s="242">
        <f>'Dados dos Bancos'!Y16</f>
        <v>0.1096</v>
      </c>
      <c r="I17" s="242">
        <f>'Dados dos Bancos'!U103</f>
        <v>0.15846144247526456</v>
      </c>
      <c r="K17" s="248">
        <v>2014</v>
      </c>
      <c r="L17" s="124">
        <f>'Dados dos Bancos'!V16</f>
        <v>6.1583575799059181E-2</v>
      </c>
      <c r="M17" s="124">
        <f>'Dados dos Bancos'!V34</f>
        <v>8.1158571578868549E-2</v>
      </c>
      <c r="N17" s="124">
        <f>'Dados dos Bancos'!V52</f>
        <v>-0.12449713858823623</v>
      </c>
      <c r="O17" s="124">
        <f>'Dados dos Bancos'!V69</f>
        <v>7.3339910628046567E-2</v>
      </c>
      <c r="P17" s="124">
        <f>'Dados dos Bancos'!V86</f>
        <v>0.13554832720502916</v>
      </c>
      <c r="Q17" s="242">
        <f t="shared" si="0"/>
        <v>0.1096</v>
      </c>
      <c r="R17" s="124">
        <f>'Dados dos Bancos'!V103</f>
        <v>1.0312940591624301E-2</v>
      </c>
      <c r="T17" s="248">
        <v>2014</v>
      </c>
      <c r="U17" s="124">
        <f>'Dados dos Bancos'!Q16/'Dados dos Bancos'!F16</f>
        <v>5.4983408464293719E-2</v>
      </c>
      <c r="V17" s="124">
        <f>'Dados dos Bancos'!Q34/'Dados dos Bancos'!F34</f>
        <v>4.8170577752815025E-2</v>
      </c>
      <c r="W17" s="124">
        <f>'Dados dos Bancos'!Q52/'Dados dos Bancos'!F52</f>
        <v>0.17501984221744571</v>
      </c>
      <c r="X17" s="124">
        <f>'Dados dos Bancos'!Q69/'Dados dos Bancos'!F69</f>
        <v>2.6424131458745403E-2</v>
      </c>
      <c r="Y17" s="124">
        <f>'Dados dos Bancos'!Q86/'Dados dos Bancos'!F86</f>
        <v>7.4048736136758345E-2</v>
      </c>
      <c r="Z17" s="242">
        <v>0.1096</v>
      </c>
      <c r="AA17" s="242">
        <f>'Dados dos Bancos'!Q103/'Dados dos Bancos'!F103</f>
        <v>7.7235904710829445E-2</v>
      </c>
    </row>
    <row r="18" spans="2:27" x14ac:dyDescent="0.3">
      <c r="B18" s="248">
        <v>2015</v>
      </c>
      <c r="C18" s="124">
        <f>'Dados dos Bancos'!U17</f>
        <v>0.17524600573216809</v>
      </c>
      <c r="D18" s="124">
        <f>'Dados dos Bancos'!U35</f>
        <v>0.11469052167070054</v>
      </c>
      <c r="E18" s="124">
        <f>'Dados dos Bancos'!U53</f>
        <v>0.20082448659849247</v>
      </c>
      <c r="F18" s="124">
        <f>'Dados dos Bancos'!U70</f>
        <v>0.1078280679187591</v>
      </c>
      <c r="G18" s="124">
        <f>'Dados dos Bancos'!U87</f>
        <v>9.8445740175285928E-2</v>
      </c>
      <c r="H18" s="242">
        <f>'Dados dos Bancos'!Y17</f>
        <v>0.13470000000000001</v>
      </c>
      <c r="I18" s="242">
        <f>'Dados dos Bancos'!U104</f>
        <v>0.15267583325985304</v>
      </c>
      <c r="K18" s="248">
        <v>2015</v>
      </c>
      <c r="L18" s="124">
        <f>'Dados dos Bancos'!V17</f>
        <v>1.3363063219227016E-2</v>
      </c>
      <c r="M18" s="124">
        <f>'Dados dos Bancos'!V35</f>
        <v>8.2735406076594964E-2</v>
      </c>
      <c r="N18" s="124">
        <f>'Dados dos Bancos'!V53</f>
        <v>0.16334269813766647</v>
      </c>
      <c r="O18" s="124">
        <f>'Dados dos Bancos'!V70</f>
        <v>0.13357197149335084</v>
      </c>
      <c r="P18" s="124">
        <f>'Dados dos Bancos'!V87</f>
        <v>-3.9887972861031122E-2</v>
      </c>
      <c r="Q18" s="242">
        <f t="shared" si="0"/>
        <v>0.13470000000000001</v>
      </c>
      <c r="R18" s="124">
        <f>'Dados dos Bancos'!V104</f>
        <v>7.6633062382642322E-2</v>
      </c>
      <c r="T18" s="248">
        <v>2015</v>
      </c>
      <c r="U18" s="124">
        <f>'Dados dos Bancos'!Q17/'Dados dos Bancos'!F17</f>
        <v>7.0616710097016436E-2</v>
      </c>
      <c r="V18" s="124">
        <f>'Dados dos Bancos'!Q35/'Dados dos Bancos'!F35</f>
        <v>2.8031602666539378E-2</v>
      </c>
      <c r="W18" s="124">
        <f>'Dados dos Bancos'!Q53/'Dados dos Bancos'!F53</f>
        <v>0.10784103022051195</v>
      </c>
      <c r="X18" s="124">
        <f>'Dados dos Bancos'!Q70/'Dados dos Bancos'!F70</f>
        <v>4.9351976293007124E-2</v>
      </c>
      <c r="Y18" s="124">
        <f>'Dados dos Bancos'!Q87/'Dados dos Bancos'!F87</f>
        <v>2.5805557568164723E-2</v>
      </c>
      <c r="Z18" s="242">
        <v>0.13470000000000001</v>
      </c>
      <c r="AA18" s="242">
        <f>'Dados dos Bancos'!Q104/'Dados dos Bancos'!F104</f>
        <v>5.9363465115132734E-2</v>
      </c>
    </row>
    <row r="19" spans="2:27" x14ac:dyDescent="0.3">
      <c r="B19" s="248">
        <v>2016</v>
      </c>
      <c r="C19" s="124">
        <f>'Dados dos Bancos'!U18</f>
        <v>9.2511959532529664E-2</v>
      </c>
      <c r="D19" s="124">
        <f>'Dados dos Bancos'!U36</f>
        <v>6.5486072207236914E-2</v>
      </c>
      <c r="E19" s="124">
        <f>'Dados dos Bancos'!U54</f>
        <v>0.14835111286115374</v>
      </c>
      <c r="F19" s="124">
        <f>'Dados dos Bancos'!U71</f>
        <v>6.7260637390687245E-2</v>
      </c>
      <c r="G19" s="124">
        <f>'Dados dos Bancos'!U88</f>
        <v>0.23593574983954219</v>
      </c>
      <c r="H19" s="242">
        <f>'Dados dos Bancos'!Y18</f>
        <v>0.14180000000000001</v>
      </c>
      <c r="I19" s="242">
        <f>'Dados dos Bancos'!U105</f>
        <v>9.8107246605798157E-2</v>
      </c>
      <c r="K19" s="248">
        <v>2016</v>
      </c>
      <c r="L19" s="124">
        <f>'Dados dos Bancos'!V18</f>
        <v>9.381859908297506E-2</v>
      </c>
      <c r="M19" s="124">
        <f>'Dados dos Bancos'!V36</f>
        <v>3.3770335842621346E-2</v>
      </c>
      <c r="N19" s="124">
        <f>'Dados dos Bancos'!V54</f>
        <v>0.6009466941428</v>
      </c>
      <c r="O19" s="124">
        <f>'Dados dos Bancos'!V71</f>
        <v>3.8640819797242432E-2</v>
      </c>
      <c r="P19" s="124">
        <f>'Dados dos Bancos'!V88</f>
        <v>0.22434862507434719</v>
      </c>
      <c r="Q19" s="242">
        <f t="shared" si="0"/>
        <v>0.14180000000000001</v>
      </c>
      <c r="R19" s="124">
        <f>'Dados dos Bancos'!V105</f>
        <v>0.20951790180828209</v>
      </c>
      <c r="T19" s="248">
        <v>2016</v>
      </c>
      <c r="U19" s="124">
        <f>'Dados dos Bancos'!Q18/'Dados dos Bancos'!F18</f>
        <v>2.6999539788935656E-2</v>
      </c>
      <c r="V19" s="124">
        <f>'Dados dos Bancos'!Q36/'Dados dos Bancos'!F36</f>
        <v>1.0710727002998369E-2</v>
      </c>
      <c r="W19" s="124">
        <f>'Dados dos Bancos'!Q54/'Dados dos Bancos'!F54</f>
        <v>2.7512284634111945E-2</v>
      </c>
      <c r="X19" s="124">
        <f>'Dados dos Bancos'!Q71/'Dados dos Bancos'!F71</f>
        <v>1.9766401709659032E-2</v>
      </c>
      <c r="Y19" s="124">
        <f>'Dados dos Bancos'!Q88/'Dados dos Bancos'!F88</f>
        <v>5.2058962169460474E-2</v>
      </c>
      <c r="Z19" s="242">
        <v>0.14180000000000001</v>
      </c>
      <c r="AA19" s="242">
        <f>'Dados dos Bancos'!Q105/'Dados dos Bancos'!F105</f>
        <v>2.1235996237181039E-2</v>
      </c>
    </row>
    <row r="20" spans="2:27" x14ac:dyDescent="0.3">
      <c r="B20" s="248">
        <v>2017</v>
      </c>
      <c r="C20" s="124">
        <f>'Dados dos Bancos'!U19</f>
        <v>0.11636520597459604</v>
      </c>
      <c r="D20" s="124">
        <f>'Dados dos Bancos'!U37</f>
        <v>0.12679875863466286</v>
      </c>
      <c r="E20" s="124">
        <f>'Dados dos Bancos'!U55</f>
        <v>0.10479279676733488</v>
      </c>
      <c r="F20" s="124">
        <f>'Dados dos Bancos'!U72</f>
        <v>3.3536011258046033E-2</v>
      </c>
      <c r="G20" s="124">
        <f>'Dados dos Bancos'!U89</f>
        <v>0.19747754083839425</v>
      </c>
      <c r="H20" s="242">
        <f>'Dados dos Bancos'!Y19</f>
        <v>0.1011</v>
      </c>
      <c r="I20" s="242">
        <f>'Dados dos Bancos'!U106</f>
        <v>0.11642404782266066</v>
      </c>
      <c r="K20" s="248">
        <v>2017</v>
      </c>
      <c r="L20" s="124">
        <f>'Dados dos Bancos'!V19</f>
        <v>0.1555681108614673</v>
      </c>
      <c r="M20" s="124">
        <f>'Dados dos Bancos'!V37</f>
        <v>9.1436982127795302E-2</v>
      </c>
      <c r="N20" s="124">
        <f>'Dados dos Bancos'!V55</f>
        <v>0.19072666870419355</v>
      </c>
      <c r="O20" s="124">
        <f>'Dados dos Bancos'!V72</f>
        <v>-2.8564382199793532E-2</v>
      </c>
      <c r="P20" s="124">
        <f>'Dados dos Bancos'!V89</f>
        <v>0.11982593461801609</v>
      </c>
      <c r="Q20" s="242">
        <f t="shared" si="0"/>
        <v>0.1011</v>
      </c>
      <c r="R20" s="124">
        <f>'Dados dos Bancos'!V106</f>
        <v>0.14076934007603759</v>
      </c>
      <c r="T20" s="248">
        <v>2017</v>
      </c>
      <c r="U20" s="124">
        <f>'Dados dos Bancos'!Q19/'Dados dos Bancos'!F19</f>
        <v>3.3162956880923959E-2</v>
      </c>
      <c r="V20" s="124">
        <f>'Dados dos Bancos'!Q37/'Dados dos Bancos'!F37</f>
        <v>3.2148595909760894E-2</v>
      </c>
      <c r="W20" s="124">
        <f>'Dados dos Bancos'!Q55/'Dados dos Bancos'!F55</f>
        <v>2.337125010772037E-2</v>
      </c>
      <c r="X20" s="124">
        <f>'Dados dos Bancos'!Q72/'Dados dos Bancos'!F72</f>
        <v>9.8800780137367396E-3</v>
      </c>
      <c r="Y20" s="124">
        <f>'Dados dos Bancos'!Q89/'Dados dos Bancos'!F89</f>
        <v>4.6587316846210244E-2</v>
      </c>
      <c r="Z20" s="242">
        <v>0.1011</v>
      </c>
      <c r="AA20" s="242">
        <f>'Dados dos Bancos'!Q106/'Dados dos Bancos'!F106</f>
        <v>2.9439966537148816E-2</v>
      </c>
    </row>
    <row r="21" spans="2:27" x14ac:dyDescent="0.3">
      <c r="H21" s="155"/>
      <c r="I21" s="155"/>
    </row>
    <row r="22" spans="2:27" hidden="1" x14ac:dyDescent="0.3"/>
    <row r="23" spans="2:27" hidden="1" x14ac:dyDescent="0.3"/>
    <row r="24" spans="2:27" hidden="1" x14ac:dyDescent="0.3"/>
    <row r="25" spans="2:27" hidden="1" x14ac:dyDescent="0.3"/>
    <row r="26" spans="2:27" hidden="1" x14ac:dyDescent="0.3"/>
    <row r="27" spans="2:27" hidden="1" x14ac:dyDescent="0.3"/>
    <row r="28" spans="2:27" hidden="1" x14ac:dyDescent="0.3"/>
    <row r="29" spans="2:27" hidden="1" x14ac:dyDescent="0.3"/>
    <row r="30" spans="2:27" hidden="1" x14ac:dyDescent="0.3"/>
    <row r="31" spans="2:27" hidden="1" x14ac:dyDescent="0.3"/>
    <row r="32" spans="2:27" hidden="1" x14ac:dyDescent="0.3"/>
    <row r="33" spans="2:27" hidden="1" x14ac:dyDescent="0.3"/>
    <row r="34" spans="2:27" hidden="1" x14ac:dyDescent="0.3"/>
    <row r="35" spans="2:27" hidden="1" x14ac:dyDescent="0.3"/>
    <row r="36" spans="2:27" hidden="1" x14ac:dyDescent="0.3"/>
    <row r="39" spans="2:27" ht="21" x14ac:dyDescent="0.3">
      <c r="B39" s="247">
        <v>4</v>
      </c>
      <c r="C39" s="246"/>
      <c r="D39" s="246"/>
      <c r="E39" s="246"/>
      <c r="F39" s="246"/>
      <c r="G39" s="246"/>
      <c r="H39" s="246"/>
      <c r="I39" s="246"/>
      <c r="K39" s="247">
        <v>5</v>
      </c>
      <c r="L39" s="246"/>
      <c r="M39" s="246"/>
      <c r="N39" s="246"/>
      <c r="O39" s="246"/>
      <c r="P39" s="246"/>
      <c r="Q39" s="246"/>
      <c r="R39" s="246"/>
      <c r="T39" s="247">
        <v>6</v>
      </c>
      <c r="U39" s="246"/>
      <c r="V39" s="246"/>
      <c r="W39" s="246"/>
      <c r="X39" s="246"/>
      <c r="Y39" s="246"/>
      <c r="Z39" s="246"/>
      <c r="AA39" s="246"/>
    </row>
    <row r="40" spans="2:27" s="257" customFormat="1" ht="30.75" customHeight="1" x14ac:dyDescent="0.3">
      <c r="B40" s="344" t="s">
        <v>86</v>
      </c>
      <c r="C40" s="345"/>
      <c r="D40" s="345"/>
      <c r="E40" s="345"/>
      <c r="F40" s="345"/>
      <c r="G40" s="345"/>
      <c r="H40" s="345"/>
      <c r="I40" s="346"/>
      <c r="J40" s="256"/>
      <c r="K40" s="344" t="s">
        <v>87</v>
      </c>
      <c r="L40" s="345"/>
      <c r="M40" s="345"/>
      <c r="N40" s="345"/>
      <c r="O40" s="345"/>
      <c r="P40" s="345"/>
      <c r="Q40" s="345"/>
      <c r="R40" s="346"/>
      <c r="S40" s="256"/>
      <c r="T40" s="344" t="s">
        <v>88</v>
      </c>
      <c r="U40" s="345"/>
      <c r="V40" s="345"/>
      <c r="W40" s="345"/>
      <c r="X40" s="345"/>
      <c r="Y40" s="345"/>
      <c r="Z40" s="345"/>
      <c r="AA40" s="346"/>
    </row>
    <row r="41" spans="2:27" x14ac:dyDescent="0.3">
      <c r="B41" s="249"/>
      <c r="C41" s="250" t="s">
        <v>80</v>
      </c>
      <c r="D41" s="251" t="s">
        <v>81</v>
      </c>
      <c r="E41" s="252" t="s">
        <v>31</v>
      </c>
      <c r="F41" s="283" t="s">
        <v>35</v>
      </c>
      <c r="G41" s="281" t="s">
        <v>36</v>
      </c>
      <c r="H41" s="282" t="s">
        <v>82</v>
      </c>
      <c r="I41" s="253" t="s">
        <v>89</v>
      </c>
      <c r="J41" s="1"/>
      <c r="K41" s="249"/>
      <c r="L41" s="250" t="s">
        <v>80</v>
      </c>
      <c r="M41" s="251" t="s">
        <v>81</v>
      </c>
      <c r="N41" s="252" t="s">
        <v>31</v>
      </c>
      <c r="O41" s="283" t="s">
        <v>35</v>
      </c>
      <c r="P41" s="281" t="s">
        <v>36</v>
      </c>
      <c r="Q41" s="282" t="s">
        <v>82</v>
      </c>
      <c r="R41" s="253" t="s">
        <v>90</v>
      </c>
      <c r="T41" s="249"/>
      <c r="U41" s="250" t="s">
        <v>80</v>
      </c>
      <c r="V41" s="251" t="s">
        <v>81</v>
      </c>
      <c r="W41" s="252" t="s">
        <v>31</v>
      </c>
      <c r="X41" s="283" t="s">
        <v>35</v>
      </c>
      <c r="Y41" s="281" t="s">
        <v>36</v>
      </c>
      <c r="Z41" s="282" t="s">
        <v>82</v>
      </c>
      <c r="AA41" s="253" t="s">
        <v>91</v>
      </c>
    </row>
    <row r="42" spans="2:27" x14ac:dyDescent="0.3">
      <c r="B42" s="248">
        <v>2002</v>
      </c>
      <c r="C42" s="124">
        <f>'Dados dos Bancos'!W4</f>
        <v>0.22046989990828597</v>
      </c>
      <c r="D42" s="124">
        <f>'Dados dos Bancos'!W22</f>
        <v>0.23359220729103669</v>
      </c>
      <c r="E42" s="124">
        <f>'Dados dos Bancos'!W40</f>
        <v>4.4498638609782822E-2</v>
      </c>
      <c r="F42" s="124">
        <f>'Dados dos Bancos'!W57</f>
        <v>0.1396646397882832</v>
      </c>
      <c r="G42" s="124">
        <f>'Dados dos Bancos'!W74</f>
        <v>0.13745091923624139</v>
      </c>
      <c r="H42" s="242">
        <f>H5</f>
        <v>0.19210000000000002</v>
      </c>
      <c r="I42" s="242">
        <f>'Dados dos Bancos'!W91</f>
        <v>0.13156745096085548</v>
      </c>
      <c r="K42" s="248">
        <v>2002</v>
      </c>
      <c r="L42" s="124">
        <f>'Dados dos Bancos'!X4</f>
        <v>9.9690607818907442E-2</v>
      </c>
      <c r="M42" s="124">
        <f>'Dados dos Bancos'!X22</f>
        <v>0.17812045104265856</v>
      </c>
      <c r="N42" s="124">
        <f>'Dados dos Bancos'!X40</f>
        <v>4.4498638609782822E-2</v>
      </c>
      <c r="O42" s="124">
        <f>'Dados dos Bancos'!X57</f>
        <v>0.1396646397882832</v>
      </c>
      <c r="P42" s="124">
        <f>'Dados dos Bancos'!X74</f>
        <v>0.10409778981683636</v>
      </c>
      <c r="Q42" s="242">
        <f>H5</f>
        <v>0.19210000000000002</v>
      </c>
      <c r="R42" s="242">
        <f>'Dados dos Bancos'!X91</f>
        <v>8.9389235775656328E-2</v>
      </c>
      <c r="T42" s="248">
        <v>2002</v>
      </c>
      <c r="U42" s="124">
        <f>('Dados dos Bancos'!Q4+'Dados dos Bancos'!S4 )/('Dados dos Bancos'!F4+'Dados dos Bancos'!R4)</f>
        <v>6.395903215260175E-2</v>
      </c>
      <c r="V42" s="124">
        <f>('Dados dos Bancos'!Q22+'Dados dos Bancos'!S22)/('Dados dos Bancos'!F22+'Dados dos Bancos'!R22)</f>
        <v>4.7902593730803494E-2</v>
      </c>
      <c r="W42" s="124">
        <f>('Dados dos Bancos'!S40+'Dados dos Bancos'!Q40)/('Dados dos Bancos'!F40+'Dados dos Bancos'!R40)</f>
        <v>1.2751085140591971E-2</v>
      </c>
      <c r="X42" s="124">
        <f>('Dados dos Bancos'!S57+'Dados dos Bancos'!Q57)/('Dados dos Bancos'!F57+'Dados dos Bancos'!R57)</f>
        <v>8.4233091559986692E-3</v>
      </c>
      <c r="Y42" s="124">
        <f>('Dados dos Bancos'!S74+'Dados dos Bancos'!Q74)/('Dados dos Bancos'!F74+'Dados dos Bancos'!R74)</f>
        <v>0</v>
      </c>
      <c r="Z42" s="242">
        <v>0.19210000000000002</v>
      </c>
      <c r="AA42" s="242">
        <f>('Dados dos Bancos'!S91+'Dados dos Bancos'!Q91)/('Dados dos Bancos'!F91+'Dados dos Bancos'!R91)</f>
        <v>3.1370705288067499E-2</v>
      </c>
    </row>
    <row r="43" spans="2:27" x14ac:dyDescent="0.3">
      <c r="B43" s="248">
        <v>2003</v>
      </c>
      <c r="C43" s="124">
        <f>'Dados dos Bancos'!W5</f>
        <v>0.22284592306104448</v>
      </c>
      <c r="D43" s="124">
        <f>'Dados dos Bancos'!W23</f>
        <v>0.31080688787041671</v>
      </c>
      <c r="E43" s="124">
        <f>'Dados dos Bancos'!W41</f>
        <v>8.2343640358463463E-2</v>
      </c>
      <c r="F43" s="124">
        <f>'Dados dos Bancos'!W58</f>
        <v>0.22120616227309067</v>
      </c>
      <c r="G43" s="124">
        <f>'Dados dos Bancos'!W75</f>
        <v>6.8168851787566501E-2</v>
      </c>
      <c r="H43" s="242">
        <f t="shared" ref="H43:H56" si="1">H6</f>
        <v>0.23469999999999999</v>
      </c>
      <c r="I43" s="242">
        <f>'Dados dos Bancos'!W92</f>
        <v>0.16925762518088794</v>
      </c>
      <c r="K43" s="248">
        <v>2003</v>
      </c>
      <c r="L43" s="124">
        <f>'Dados dos Bancos'!X5</f>
        <v>0.34813466678128829</v>
      </c>
      <c r="M43" s="124">
        <f>'Dados dos Bancos'!X23</f>
        <v>0.38605386919377177</v>
      </c>
      <c r="N43" s="124">
        <f>'Dados dos Bancos'!X41</f>
        <v>8.2343640358463463E-2</v>
      </c>
      <c r="O43" s="124">
        <f>'Dados dos Bancos'!X58</f>
        <v>0.22120616227309067</v>
      </c>
      <c r="P43" s="124">
        <f>'Dados dos Bancos'!X75</f>
        <v>0.13301516106163641</v>
      </c>
      <c r="Q43" s="242">
        <f t="shared" ref="Q43:Q52" si="2">H6</f>
        <v>0.23469999999999999</v>
      </c>
      <c r="R43" s="242">
        <f>'Dados dos Bancos'!X92</f>
        <v>0.22039972713252201</v>
      </c>
      <c r="T43" s="248">
        <v>2003</v>
      </c>
      <c r="U43" s="124">
        <f>('Dados dos Bancos'!Q5+'Dados dos Bancos'!S5 )/('Dados dos Bancos'!F5+'Dados dos Bancos'!R5)</f>
        <v>6.2188485419430513E-2</v>
      </c>
      <c r="V43" s="124">
        <f>('Dados dos Bancos'!Q23+'Dados dos Bancos'!S23)/('Dados dos Bancos'!F23+'Dados dos Bancos'!R23)</f>
        <v>0.14032880583939988</v>
      </c>
      <c r="W43" s="124">
        <f>('Dados dos Bancos'!S41+'Dados dos Bancos'!Q41)/('Dados dos Bancos'!F41+'Dados dos Bancos'!R41)</f>
        <v>1.9171260632713901E-2</v>
      </c>
      <c r="X43" s="124">
        <f>('Dados dos Bancos'!S58+'Dados dos Bancos'!Q58)/('Dados dos Bancos'!F58+'Dados dos Bancos'!R58)</f>
        <v>9.5717635184153244E-2</v>
      </c>
      <c r="Y43" s="124">
        <f>('Dados dos Bancos'!S75+'Dados dos Bancos'!Q75)/('Dados dos Bancos'!F75+'Dados dos Bancos'!R75)</f>
        <v>1.5618382564833283E-2</v>
      </c>
      <c r="Z43" s="242">
        <v>0.23469999999999999</v>
      </c>
      <c r="AA43" s="242">
        <f>('Dados dos Bancos'!S92+'Dados dos Bancos'!Q92)/('Dados dos Bancos'!F92+'Dados dos Bancos'!R92)</f>
        <v>5.8406395775765473E-2</v>
      </c>
    </row>
    <row r="44" spans="2:27" x14ac:dyDescent="0.3">
      <c r="B44" s="248">
        <v>2004</v>
      </c>
      <c r="C44" s="124">
        <f>'Dados dos Bancos'!W6</f>
        <v>0.23060384080541937</v>
      </c>
      <c r="D44" s="124">
        <f>'Dados dos Bancos'!W24</f>
        <v>0.22835224417926156</v>
      </c>
      <c r="E44" s="124">
        <f>'Dados dos Bancos'!W42</f>
        <v>0.11106364972413794</v>
      </c>
      <c r="F44" s="124">
        <f>'Dados dos Bancos'!W59</f>
        <v>7.9202724798270993E-2</v>
      </c>
      <c r="G44" s="124">
        <f>'Dados dos Bancos'!W76</f>
        <v>0.11452846040035894</v>
      </c>
      <c r="H44" s="242">
        <f t="shared" si="1"/>
        <v>0.1638</v>
      </c>
      <c r="I44" s="242">
        <f>'Dados dos Bancos'!W93</f>
        <v>0.16823967705565512</v>
      </c>
      <c r="K44" s="248">
        <v>2004</v>
      </c>
      <c r="L44" s="124">
        <f>'Dados dos Bancos'!X6</f>
        <v>0.21647793468388554</v>
      </c>
      <c r="M44" s="124">
        <f>'Dados dos Bancos'!X24</f>
        <v>0.22770987371968202</v>
      </c>
      <c r="N44" s="124">
        <f>'Dados dos Bancos'!X42</f>
        <v>0.11106364972413794</v>
      </c>
      <c r="O44" s="124">
        <f>'Dados dos Bancos'!X59</f>
        <v>7.9202724798270993E-2</v>
      </c>
      <c r="P44" s="124">
        <f>'Dados dos Bancos'!X76</f>
        <v>9.8992042000823177E-2</v>
      </c>
      <c r="Q44" s="242">
        <f t="shared" si="2"/>
        <v>0.1638</v>
      </c>
      <c r="R44" s="242">
        <f>'Dados dos Bancos'!X93</f>
        <v>0.16330522274506448</v>
      </c>
      <c r="T44" s="248">
        <v>2004</v>
      </c>
      <c r="U44" s="124">
        <f>('Dados dos Bancos'!Q6+'Dados dos Bancos'!S6 )/('Dados dos Bancos'!F6+'Dados dos Bancos'!R6)</f>
        <v>6.7651229955086101E-2</v>
      </c>
      <c r="V44" s="124">
        <f>('Dados dos Bancos'!Q24+'Dados dos Bancos'!S24)/('Dados dos Bancos'!F24+'Dados dos Bancos'!R24)</f>
        <v>7.8758156202916124E-2</v>
      </c>
      <c r="W44" s="124">
        <f>('Dados dos Bancos'!S42+'Dados dos Bancos'!Q42)/('Dados dos Bancos'!F42+'Dados dos Bancos'!R42)</f>
        <v>7.6444951275022432E-2</v>
      </c>
      <c r="X44" s="124">
        <f>('Dados dos Bancos'!S59+'Dados dos Bancos'!Q59)/('Dados dos Bancos'!F59+'Dados dos Bancos'!R59)</f>
        <v>3.7221252883415344E-2</v>
      </c>
      <c r="Y44" s="124">
        <f>('Dados dos Bancos'!S76+'Dados dos Bancos'!Q76)/('Dados dos Bancos'!F76+'Dados dos Bancos'!R76)</f>
        <v>3.9323747040031748E-2</v>
      </c>
      <c r="Z44" s="242">
        <v>0.1638</v>
      </c>
      <c r="AA44" s="242">
        <f>('Dados dos Bancos'!S93+'Dados dos Bancos'!Q93)/('Dados dos Bancos'!F93+'Dados dos Bancos'!R93)</f>
        <v>7.1185768819277559E-2</v>
      </c>
    </row>
    <row r="45" spans="2:27" x14ac:dyDescent="0.3">
      <c r="B45" s="248">
        <v>2005</v>
      </c>
      <c r="C45" s="124">
        <f>'Dados dos Bancos'!W7</f>
        <v>0.26835989515258379</v>
      </c>
      <c r="D45" s="124">
        <f>'Dados dos Bancos'!W25</f>
        <v>0.28367204261862444</v>
      </c>
      <c r="E45" s="124">
        <f>'Dados dos Bancos'!W43</f>
        <v>0.20133629450206403</v>
      </c>
      <c r="F45" s="124">
        <f>'Dados dos Bancos'!W60</f>
        <v>0.16262464614603589</v>
      </c>
      <c r="G45" s="124">
        <f>'Dados dos Bancos'!W77</f>
        <v>0.1156747750333403</v>
      </c>
      <c r="H45" s="242">
        <f t="shared" si="1"/>
        <v>0.1913</v>
      </c>
      <c r="I45" s="242">
        <f>'Dados dos Bancos'!W94</f>
        <v>0.23400718289322892</v>
      </c>
      <c r="K45" s="248">
        <v>2005</v>
      </c>
      <c r="L45" s="124">
        <f>'Dados dos Bancos'!X7</f>
        <v>0.27400297071986657</v>
      </c>
      <c r="M45" s="124">
        <f>'Dados dos Bancos'!X25</f>
        <v>0.27627185834953411</v>
      </c>
      <c r="N45" s="124">
        <f>'Dados dos Bancos'!X43</f>
        <v>0.20133629450206403</v>
      </c>
      <c r="O45" s="124">
        <f>'Dados dos Bancos'!X60</f>
        <v>0.16262464614603589</v>
      </c>
      <c r="P45" s="124">
        <f>'Dados dos Bancos'!X77</f>
        <v>0.12261734886433499</v>
      </c>
      <c r="Q45" s="242">
        <f t="shared" si="2"/>
        <v>0.1913</v>
      </c>
      <c r="R45" s="242">
        <f>'Dados dos Bancos'!X94</f>
        <v>0.23449920354459497</v>
      </c>
      <c r="T45" s="248">
        <v>2005</v>
      </c>
      <c r="U45" s="124">
        <f>('Dados dos Bancos'!Q7+'Dados dos Bancos'!S7 )/('Dados dos Bancos'!F7+'Dados dos Bancos'!R7)</f>
        <v>8.8907520312459729E-2</v>
      </c>
      <c r="V45" s="124">
        <f>('Dados dos Bancos'!Q25+'Dados dos Bancos'!S25)/('Dados dos Bancos'!F25+'Dados dos Bancos'!R25)</f>
        <v>9.2681007985219208E-2</v>
      </c>
      <c r="W45" s="124">
        <f>('Dados dos Bancos'!S43+'Dados dos Bancos'!Q43)/('Dados dos Bancos'!F43+'Dados dos Bancos'!R43)</f>
        <v>8.5991369419877783E-2</v>
      </c>
      <c r="X45" s="124">
        <f>('Dados dos Bancos'!S60+'Dados dos Bancos'!Q60)/('Dados dos Bancos'!F60+'Dados dos Bancos'!R60)</f>
        <v>7.5855598988273168E-2</v>
      </c>
      <c r="Y45" s="124">
        <f>('Dados dos Bancos'!S77+'Dados dos Bancos'!Q77)/('Dados dos Bancos'!F77+'Dados dos Bancos'!R77)</f>
        <v>2.1270274923036684E-2</v>
      </c>
      <c r="Z45" s="242">
        <v>0.1913</v>
      </c>
      <c r="AA45" s="242">
        <f>('Dados dos Bancos'!S94+'Dados dos Bancos'!Q94)/('Dados dos Bancos'!F94+'Dados dos Bancos'!R94)</f>
        <v>8.5691594754609191E-2</v>
      </c>
    </row>
    <row r="46" spans="2:27" x14ac:dyDescent="0.3">
      <c r="B46" s="248">
        <v>2006</v>
      </c>
      <c r="C46" s="124">
        <f>'Dados dos Bancos'!W8</f>
        <v>0.31443756165365699</v>
      </c>
      <c r="D46" s="124">
        <f>'Dados dos Bancos'!W26</f>
        <v>0.27852604454707869</v>
      </c>
      <c r="E46" s="124">
        <f>'Dados dos Bancos'!W44</f>
        <v>0.3313251453597319</v>
      </c>
      <c r="F46" s="124">
        <f>'Dados dos Bancos'!W61</f>
        <v>0.10038550232371408</v>
      </c>
      <c r="G46" s="124">
        <f>'Dados dos Bancos'!W78</f>
        <v>0.14063402335576139</v>
      </c>
      <c r="H46" s="242">
        <f t="shared" si="1"/>
        <v>0.14910000000000001</v>
      </c>
      <c r="I46" s="242">
        <f>'Dados dos Bancos'!W95</f>
        <v>0.30216624266263276</v>
      </c>
      <c r="K46" s="248">
        <v>2006</v>
      </c>
      <c r="L46" s="124">
        <f>'Dados dos Bancos'!X8</f>
        <v>0.3275644615406641</v>
      </c>
      <c r="M46" s="124">
        <f>'Dados dos Bancos'!X26</f>
        <v>0.28211099394598427</v>
      </c>
      <c r="N46" s="124">
        <f>'Dados dos Bancos'!X44</f>
        <v>0.3313251453597319</v>
      </c>
      <c r="O46" s="124">
        <f>'Dados dos Bancos'!X61</f>
        <v>0.10038550232371408</v>
      </c>
      <c r="P46" s="124">
        <f>'Dados dos Bancos'!X78</f>
        <v>0.167132882413394</v>
      </c>
      <c r="Q46" s="242">
        <f t="shared" si="2"/>
        <v>0.14910000000000001</v>
      </c>
      <c r="R46" s="242">
        <f>'Dados dos Bancos'!X95</f>
        <v>0.30752166230339878</v>
      </c>
      <c r="T46" s="248">
        <v>2006</v>
      </c>
      <c r="U46" s="124">
        <f>('Dados dos Bancos'!Q8+'Dados dos Bancos'!S8 )/('Dados dos Bancos'!F8+'Dados dos Bancos'!R8)</f>
        <v>0.11646069277565435</v>
      </c>
      <c r="V46" s="124">
        <f>('Dados dos Bancos'!Q26+'Dados dos Bancos'!S26)/('Dados dos Bancos'!F26+'Dados dos Bancos'!R26)</f>
        <v>0.12480574398827331</v>
      </c>
      <c r="W46" s="124">
        <f>('Dados dos Bancos'!S44+'Dados dos Bancos'!Q44)/('Dados dos Bancos'!F44+'Dados dos Bancos'!R44)</f>
        <v>7.4651046037838467E-2</v>
      </c>
      <c r="X46" s="124">
        <f>('Dados dos Bancos'!S61+'Dados dos Bancos'!Q61)/('Dados dos Bancos'!F61+'Dados dos Bancos'!R61)</f>
        <v>6.3768840967812185E-2</v>
      </c>
      <c r="Y46" s="124">
        <f>('Dados dos Bancos'!S78+'Dados dos Bancos'!Q78)/('Dados dos Bancos'!F78+'Dados dos Bancos'!R78)</f>
        <v>6.2915516245237446E-2</v>
      </c>
      <c r="Z46" s="242">
        <v>0.14910000000000001</v>
      </c>
      <c r="AA46" s="242">
        <f>('Dados dos Bancos'!S95+'Dados dos Bancos'!Q95)/('Dados dos Bancos'!F95+'Dados dos Bancos'!R95)</f>
        <v>9.4714320382503131E-2</v>
      </c>
    </row>
    <row r="47" spans="2:27" x14ac:dyDescent="0.3">
      <c r="B47" s="248">
        <v>2007</v>
      </c>
      <c r="C47" s="124">
        <f>'Dados dos Bancos'!W9</f>
        <v>0.22620053142715479</v>
      </c>
      <c r="D47" s="124">
        <f>'Dados dos Bancos'!W27</f>
        <v>0.22631168244090574</v>
      </c>
      <c r="E47" s="124">
        <f>'Dados dos Bancos'!W45</f>
        <v>0.27914376042598982</v>
      </c>
      <c r="F47" s="124">
        <f>'Dados dos Bancos'!W62</f>
        <v>0.1027956204671738</v>
      </c>
      <c r="G47" s="124">
        <f>'Dados dos Bancos'!W79</f>
        <v>0.14154173414121873</v>
      </c>
      <c r="H47" s="242">
        <f t="shared" si="1"/>
        <v>0.12039999999999999</v>
      </c>
      <c r="I47" s="242">
        <f>'Dados dos Bancos'!W96</f>
        <v>0.24530892380293437</v>
      </c>
      <c r="K47" s="248">
        <v>2007</v>
      </c>
      <c r="L47" s="124">
        <f>'Dados dos Bancos'!X9</f>
        <v>0.22474998421041845</v>
      </c>
      <c r="M47" s="124">
        <f>'Dados dos Bancos'!X27</f>
        <v>0.22486123506565639</v>
      </c>
      <c r="N47" s="124">
        <f>'Dados dos Bancos'!X45</f>
        <v>0.27914376042598982</v>
      </c>
      <c r="O47" s="124">
        <f>'Dados dos Bancos'!X62</f>
        <v>0.1027956204671738</v>
      </c>
      <c r="P47" s="124">
        <f>'Dados dos Bancos'!X79</f>
        <v>0.13889053193444514</v>
      </c>
      <c r="Q47" s="242">
        <f t="shared" si="2"/>
        <v>0.12039999999999999</v>
      </c>
      <c r="R47" s="242">
        <f>'Dados dos Bancos'!X96</f>
        <v>0.24454842823739778</v>
      </c>
      <c r="T47" s="248">
        <v>2007</v>
      </c>
      <c r="U47" s="124">
        <f>('Dados dos Bancos'!Q9+'Dados dos Bancos'!S9 )/('Dados dos Bancos'!F9+'Dados dos Bancos'!R9)</f>
        <v>8.0280563926709375E-2</v>
      </c>
      <c r="V47" s="124">
        <f>('Dados dos Bancos'!Q27+'Dados dos Bancos'!S27)/('Dados dos Bancos'!F27+'Dados dos Bancos'!R27)</f>
        <v>9.0587366481223661E-2</v>
      </c>
      <c r="W47" s="124">
        <f>('Dados dos Bancos'!S45+'Dados dos Bancos'!Q45)/('Dados dos Bancos'!F45+'Dados dos Bancos'!R45)</f>
        <v>6.8606914055970372E-2</v>
      </c>
      <c r="X47" s="124">
        <f>('Dados dos Bancos'!S62+'Dados dos Bancos'!Q62)/('Dados dos Bancos'!F62+'Dados dos Bancos'!R62)</f>
        <v>3.7141386036435783E-2</v>
      </c>
      <c r="Y47" s="124">
        <f>('Dados dos Bancos'!S79+'Dados dos Bancos'!Q79)/('Dados dos Bancos'!F79+'Dados dos Bancos'!R79)</f>
        <v>7.2242790791133091E-2</v>
      </c>
      <c r="Z47" s="242">
        <v>0.12039999999999999</v>
      </c>
      <c r="AA47" s="242">
        <f>('Dados dos Bancos'!S96+'Dados dos Bancos'!Q96)/('Dados dos Bancos'!F96+'Dados dos Bancos'!R96)</f>
        <v>7.6087852534876613E-2</v>
      </c>
    </row>
    <row r="48" spans="2:27" x14ac:dyDescent="0.3">
      <c r="B48" s="248">
        <v>2008</v>
      </c>
      <c r="C48" s="124">
        <f>'Dados dos Bancos'!W10</f>
        <v>0.31599225116455898</v>
      </c>
      <c r="D48" s="124">
        <f>'Dados dos Bancos'!W28</f>
        <v>0.24574341090476487</v>
      </c>
      <c r="E48" s="124">
        <f>'Dados dos Bancos'!W46</f>
        <v>0.18422648699505376</v>
      </c>
      <c r="F48" s="124">
        <f>'Dados dos Bancos'!W63</f>
        <v>0.11718212414790517</v>
      </c>
      <c r="G48" s="124">
        <f>'Dados dos Bancos'!W80</f>
        <v>0.24766280649102448</v>
      </c>
      <c r="H48" s="242">
        <f t="shared" si="1"/>
        <v>0.1245</v>
      </c>
      <c r="I48" s="242">
        <f>'Dados dos Bancos'!W97</f>
        <v>0.23367852854196763</v>
      </c>
      <c r="K48" s="248">
        <v>2008</v>
      </c>
      <c r="L48" s="124">
        <f>'Dados dos Bancos'!X10</f>
        <v>0.31056925811988417</v>
      </c>
      <c r="M48" s="124">
        <f>'Dados dos Bancos'!X28</f>
        <v>0.23980129672554978</v>
      </c>
      <c r="N48" s="124">
        <f>'Dados dos Bancos'!X46</f>
        <v>0.18946564752497169</v>
      </c>
      <c r="O48" s="124">
        <f>'Dados dos Bancos'!X63</f>
        <v>0.11718212414790517</v>
      </c>
      <c r="P48" s="124">
        <f>'Dados dos Bancos'!X80</f>
        <v>0.2457645812463346</v>
      </c>
      <c r="Q48" s="242">
        <f t="shared" si="2"/>
        <v>0.1245</v>
      </c>
      <c r="R48" s="242">
        <f>'Dados dos Bancos'!X97</f>
        <v>0.23306897866862461</v>
      </c>
      <c r="T48" s="248">
        <v>2008</v>
      </c>
      <c r="U48" s="124">
        <f>('Dados dos Bancos'!Q10+'Dados dos Bancos'!S10 )/('Dados dos Bancos'!F10+'Dados dos Bancos'!R10)</f>
        <v>0.11737370789185265</v>
      </c>
      <c r="V48" s="124">
        <f>('Dados dos Bancos'!Q28+'Dados dos Bancos'!S28)/('Dados dos Bancos'!F28+'Dados dos Bancos'!R28)</f>
        <v>0.10370747925767433</v>
      </c>
      <c r="W48" s="124">
        <f>('Dados dos Bancos'!S46+'Dados dos Bancos'!Q46)/('Dados dos Bancos'!F46+'Dados dos Bancos'!R46)</f>
        <v>5.4176313103401909E-2</v>
      </c>
      <c r="X48" s="124">
        <f>('Dados dos Bancos'!S63+'Dados dos Bancos'!Q63)/('Dados dos Bancos'!F63+'Dados dos Bancos'!R63)</f>
        <v>5.818598960413289E-2</v>
      </c>
      <c r="Y48" s="124">
        <f>('Dados dos Bancos'!S80+'Dados dos Bancos'!Q80)/('Dados dos Bancos'!F80+'Dados dos Bancos'!R80)</f>
        <v>0.12267297313686253</v>
      </c>
      <c r="Z48" s="242">
        <v>0.1245</v>
      </c>
      <c r="AA48" s="242">
        <f>('Dados dos Bancos'!S97+'Dados dos Bancos'!Q97)/('Dados dos Bancos'!F97+'Dados dos Bancos'!R97)</f>
        <v>8.5451794252935961E-2</v>
      </c>
    </row>
    <row r="49" spans="2:27" x14ac:dyDescent="0.3">
      <c r="B49" s="248">
        <v>2009</v>
      </c>
      <c r="C49" s="124">
        <f>'Dados dos Bancos'!W11</f>
        <v>0.30653519511358174</v>
      </c>
      <c r="D49" s="124">
        <f>'Dados dos Bancos'!W29</f>
        <v>0.16953914142989845</v>
      </c>
      <c r="E49" s="124">
        <f>'Dados dos Bancos'!W47</f>
        <v>0.21069363870343849</v>
      </c>
      <c r="F49" s="124">
        <f>'Dados dos Bancos'!W64</f>
        <v>1.3904768198790603E-2</v>
      </c>
      <c r="G49" s="124">
        <f>'Dados dos Bancos'!W81</f>
        <v>0.23720054859590248</v>
      </c>
      <c r="H49" s="242">
        <f t="shared" si="1"/>
        <v>0.1013</v>
      </c>
      <c r="I49" s="242">
        <f>'Dados dos Bancos'!W98</f>
        <v>0.22243697415170335</v>
      </c>
      <c r="K49" s="248">
        <v>2009</v>
      </c>
      <c r="L49" s="124">
        <f>'Dados dos Bancos'!X11</f>
        <v>0.30869309550176899</v>
      </c>
      <c r="M49" s="124">
        <f>'Dados dos Bancos'!X29</f>
        <v>0.17218069322956478</v>
      </c>
      <c r="N49" s="124">
        <f>'Dados dos Bancos'!X47</f>
        <v>0.20965614822565429</v>
      </c>
      <c r="O49" s="124">
        <f>'Dados dos Bancos'!X64</f>
        <v>1.3904768198790603E-2</v>
      </c>
      <c r="P49" s="124">
        <f>'Dados dos Bancos'!X81</f>
        <v>0.2666054129920491</v>
      </c>
      <c r="Q49" s="242">
        <f t="shared" si="2"/>
        <v>0.1013</v>
      </c>
      <c r="R49" s="242">
        <f>'Dados dos Bancos'!X98</f>
        <v>0.22387215772949254</v>
      </c>
      <c r="T49" s="248">
        <v>2009</v>
      </c>
      <c r="U49" s="124">
        <f>('Dados dos Bancos'!Q11+'Dados dos Bancos'!S11 )/('Dados dos Bancos'!F11+'Dados dos Bancos'!R11)</f>
        <v>0.1126027154012514</v>
      </c>
      <c r="V49" s="124">
        <f>('Dados dos Bancos'!Q29+'Dados dos Bancos'!S29)/('Dados dos Bancos'!F29+'Dados dos Bancos'!R29)</f>
        <v>4.787224127390332E-2</v>
      </c>
      <c r="W49" s="124">
        <f>('Dados dos Bancos'!S47+'Dados dos Bancos'!Q47)/('Dados dos Bancos'!F47+'Dados dos Bancos'!R47)</f>
        <v>5.8665702242450692E-2</v>
      </c>
      <c r="X49" s="124">
        <f>('Dados dos Bancos'!S64+'Dados dos Bancos'!Q64)/('Dados dos Bancos'!F64+'Dados dos Bancos'!R64)</f>
        <v>1.4573729864998908E-2</v>
      </c>
      <c r="Y49" s="124">
        <f>('Dados dos Bancos'!S81+'Dados dos Bancos'!Q81)/('Dados dos Bancos'!F81+'Dados dos Bancos'!R81)</f>
        <v>0.11600477632102667</v>
      </c>
      <c r="Z49" s="242">
        <v>0.1013</v>
      </c>
      <c r="AA49" s="242">
        <f>('Dados dos Bancos'!S98+'Dados dos Bancos'!Q98)/('Dados dos Bancos'!F98+'Dados dos Bancos'!R98)</f>
        <v>7.083668935333369E-2</v>
      </c>
    </row>
    <row r="50" spans="2:27" x14ac:dyDescent="0.3">
      <c r="B50" s="248">
        <v>2010</v>
      </c>
      <c r="C50" s="124">
        <f>'Dados dos Bancos'!W12</f>
        <v>0.25950450321596835</v>
      </c>
      <c r="D50" s="124">
        <f>'Dados dos Bancos'!W30</f>
        <v>0.17119063882866561</v>
      </c>
      <c r="E50" s="124">
        <f>'Dados dos Bancos'!W48</f>
        <v>0.1803784792358375</v>
      </c>
      <c r="F50" s="124">
        <f>'Dados dos Bancos'!W65</f>
        <v>7.4218531792541231E-2</v>
      </c>
      <c r="G50" s="124">
        <f>'Dados dos Bancos'!W82</f>
        <v>0.11964462642876074</v>
      </c>
      <c r="H50" s="242">
        <f t="shared" si="1"/>
        <v>9.9000000000000005E-2</v>
      </c>
      <c r="I50" s="242">
        <f>'Dados dos Bancos'!W99</f>
        <v>0.19376122567792561</v>
      </c>
      <c r="K50" s="248">
        <v>2010</v>
      </c>
      <c r="L50" s="124">
        <f>'Dados dos Bancos'!X12</f>
        <v>0.26387876546501954</v>
      </c>
      <c r="M50" s="124">
        <f>'Dados dos Bancos'!X30</f>
        <v>0.16285918052304071</v>
      </c>
      <c r="N50" s="124">
        <f>'Dados dos Bancos'!X48</f>
        <v>0.67369865251495786</v>
      </c>
      <c r="O50" s="124">
        <f>'Dados dos Bancos'!X65</f>
        <v>7.4218531792541231E-2</v>
      </c>
      <c r="P50" s="124">
        <f>'Dados dos Bancos'!X82</f>
        <v>9.4061209201448837E-2</v>
      </c>
      <c r="Q50" s="242">
        <f t="shared" si="2"/>
        <v>9.9000000000000005E-2</v>
      </c>
      <c r="R50" s="242">
        <f>'Dados dos Bancos'!X99</f>
        <v>0.44605234712504893</v>
      </c>
      <c r="T50" s="248">
        <v>2010</v>
      </c>
      <c r="U50" s="124">
        <f>('Dados dos Bancos'!Q12+'Dados dos Bancos'!S12 )/('Dados dos Bancos'!F12+'Dados dos Bancos'!R12)</f>
        <v>9.7406383640620361E-2</v>
      </c>
      <c r="V50" s="124">
        <f>('Dados dos Bancos'!Q30+'Dados dos Bancos'!S30)/('Dados dos Bancos'!F30+'Dados dos Bancos'!R30)</f>
        <v>7.648902356822361E-2</v>
      </c>
      <c r="W50" s="124">
        <f>('Dados dos Bancos'!S48+'Dados dos Bancos'!Q48)/('Dados dos Bancos'!F48+'Dados dos Bancos'!R48)</f>
        <v>5.3923639716290724E-2</v>
      </c>
      <c r="X50" s="124">
        <f>('Dados dos Bancos'!S65+'Dados dos Bancos'!Q65)/('Dados dos Bancos'!F65+'Dados dos Bancos'!R65)</f>
        <v>5.7381211949450041E-2</v>
      </c>
      <c r="Y50" s="124">
        <f>('Dados dos Bancos'!S82+'Dados dos Bancos'!Q82)/('Dados dos Bancos'!F82+'Dados dos Bancos'!R82)</f>
        <v>6.5038182654797508E-2</v>
      </c>
      <c r="Z50" s="242">
        <v>9.9000000000000005E-2</v>
      </c>
      <c r="AA50" s="242">
        <f>('Dados dos Bancos'!S99+'Dados dos Bancos'!Q99)/('Dados dos Bancos'!F99+'Dados dos Bancos'!R99)</f>
        <v>6.7914468762916555E-2</v>
      </c>
    </row>
    <row r="51" spans="2:27" x14ac:dyDescent="0.3">
      <c r="B51" s="248">
        <v>2011</v>
      </c>
      <c r="C51" s="124">
        <f>'Dados dos Bancos'!W13</f>
        <v>0.22243860128405202</v>
      </c>
      <c r="D51" s="124">
        <f>'Dados dos Bancos'!W31</f>
        <v>0.19268485478700781</v>
      </c>
      <c r="E51" s="124">
        <f>'Dados dos Bancos'!W49</f>
        <v>0.12892352415282954</v>
      </c>
      <c r="F51" s="124">
        <f>'Dados dos Bancos'!W66</f>
        <v>4.0626429258599203E-2</v>
      </c>
      <c r="G51" s="124">
        <f>'Dados dos Bancos'!W83</f>
        <v>0.13363564979798162</v>
      </c>
      <c r="H51" s="242">
        <f t="shared" si="1"/>
        <v>0.1176</v>
      </c>
      <c r="I51" s="242">
        <f>'Dados dos Bancos'!W100</f>
        <v>0.16239986770348089</v>
      </c>
      <c r="K51" s="248">
        <v>2011</v>
      </c>
      <c r="L51" s="124">
        <f>'Dados dos Bancos'!X13</f>
        <v>0.22714211946602642</v>
      </c>
      <c r="M51" s="124">
        <f>'Dados dos Bancos'!X31</f>
        <v>0.19363802138253161</v>
      </c>
      <c r="N51" s="124">
        <f>'Dados dos Bancos'!X49</f>
        <v>-5.3248210448326151E-2</v>
      </c>
      <c r="O51" s="124">
        <f>'Dados dos Bancos'!X66</f>
        <v>4.2855070818834447E-2</v>
      </c>
      <c r="P51" s="124">
        <f>'Dados dos Bancos'!X83</f>
        <v>0.1336412540868252</v>
      </c>
      <c r="Q51" s="242">
        <f t="shared" si="2"/>
        <v>0.1176</v>
      </c>
      <c r="R51" s="242">
        <f>'Dados dos Bancos'!X100</f>
        <v>6.7561831352253132E-2</v>
      </c>
      <c r="T51" s="248">
        <v>2011</v>
      </c>
      <c r="U51" s="124">
        <f>('Dados dos Bancos'!Q13+'Dados dos Bancos'!S13 )/('Dados dos Bancos'!F13+'Dados dos Bancos'!R13)</f>
        <v>8.3919439628532114E-2</v>
      </c>
      <c r="V51" s="124">
        <f>('Dados dos Bancos'!Q31+'Dados dos Bancos'!S31)/('Dados dos Bancos'!F31+'Dados dos Bancos'!R31)</f>
        <v>0.10612551654033854</v>
      </c>
      <c r="W51" s="124">
        <f>('Dados dos Bancos'!S49+'Dados dos Bancos'!Q49)/('Dados dos Bancos'!F49+'Dados dos Bancos'!R49)</f>
        <v>3.9383573812620552E-2</v>
      </c>
      <c r="X51" s="124">
        <f>('Dados dos Bancos'!S66+'Dados dos Bancos'!Q66)/('Dados dos Bancos'!F66+'Dados dos Bancos'!R66)</f>
        <v>4.0579770087606597E-2</v>
      </c>
      <c r="Y51" s="124">
        <f>('Dados dos Bancos'!S83+'Dados dos Bancos'!Q83)/('Dados dos Bancos'!F83+'Dados dos Bancos'!R83)</f>
        <v>8.6926876246485041E-2</v>
      </c>
      <c r="Z51" s="242">
        <v>0.1176</v>
      </c>
      <c r="AA51" s="242">
        <f>('Dados dos Bancos'!S100+'Dados dos Bancos'!Q100)/('Dados dos Bancos'!F100+'Dados dos Bancos'!R100)</f>
        <v>6.6091636730925704E-2</v>
      </c>
    </row>
    <row r="52" spans="2:27" x14ac:dyDescent="0.3">
      <c r="B52" s="248">
        <v>2012</v>
      </c>
      <c r="C52" s="124">
        <f>'Dados dos Bancos'!W14</f>
        <v>0.17995954237162706</v>
      </c>
      <c r="D52" s="124">
        <f>'Dados dos Bancos'!W32</f>
        <v>0.15788215433974162</v>
      </c>
      <c r="E52" s="124">
        <f>'Dados dos Bancos'!W50</f>
        <v>0.12951725347346213</v>
      </c>
      <c r="F52" s="124">
        <f>'Dados dos Bancos'!W67</f>
        <v>8.6953391713781775E-2</v>
      </c>
      <c r="G52" s="124">
        <f>'Dados dos Bancos'!W84</f>
        <v>0.25854246555513793</v>
      </c>
      <c r="H52" s="242">
        <f t="shared" si="1"/>
        <v>8.6199999999999999E-2</v>
      </c>
      <c r="I52" s="242">
        <f>'Dados dos Bancos'!W101</f>
        <v>0.15268122907361251</v>
      </c>
      <c r="K52" s="248">
        <v>2012</v>
      </c>
      <c r="L52" s="124">
        <f>'Dados dos Bancos'!X14</f>
        <v>0.19002578103768242</v>
      </c>
      <c r="M52" s="124">
        <f>'Dados dos Bancos'!X32</f>
        <v>0.14499040578010597</v>
      </c>
      <c r="N52" s="124">
        <f>'Dados dos Bancos'!X50</f>
        <v>3.1320627319756322E-2</v>
      </c>
      <c r="O52" s="124">
        <f>'Dados dos Bancos'!X67</f>
        <v>6.5940821187900789E-2</v>
      </c>
      <c r="P52" s="124">
        <f>'Dados dos Bancos'!X84</f>
        <v>0.18751810383746573</v>
      </c>
      <c r="Q52" s="242">
        <f t="shared" si="2"/>
        <v>8.6199999999999999E-2</v>
      </c>
      <c r="R52" s="242">
        <f>'Dados dos Bancos'!X101</f>
        <v>0.10735483728075285</v>
      </c>
      <c r="T52" s="248">
        <v>2012</v>
      </c>
      <c r="U52" s="124">
        <f>('Dados dos Bancos'!Q14+'Dados dos Bancos'!S14 )/('Dados dos Bancos'!F14+'Dados dos Bancos'!R14)</f>
        <v>6.4646924400554681E-2</v>
      </c>
      <c r="V52" s="124">
        <f>('Dados dos Bancos'!Q32+'Dados dos Bancos'!S32)/('Dados dos Bancos'!F32+'Dados dos Bancos'!R32)</f>
        <v>0.11188579092481458</v>
      </c>
      <c r="W52" s="124">
        <f>('Dados dos Bancos'!S50+'Dados dos Bancos'!Q50)/('Dados dos Bancos'!F50+'Dados dos Bancos'!R50)</f>
        <v>8.3987461339815633E-2</v>
      </c>
      <c r="X52" s="124">
        <f>('Dados dos Bancos'!S67+'Dados dos Bancos'!Q67)/('Dados dos Bancos'!F67+'Dados dos Bancos'!R67)</f>
        <v>4.0016359348934216E-2</v>
      </c>
      <c r="Y52" s="124">
        <f>('Dados dos Bancos'!S84+'Dados dos Bancos'!Q84)/('Dados dos Bancos'!F84+'Dados dos Bancos'!R84)</f>
        <v>8.5696042959092528E-2</v>
      </c>
      <c r="Z52" s="242">
        <v>8.6199999999999999E-2</v>
      </c>
      <c r="AA52" s="242">
        <f>('Dados dos Bancos'!S101+'Dados dos Bancos'!Q101)/('Dados dos Bancos'!F101+'Dados dos Bancos'!R101)</f>
        <v>8.6936252941430689E-2</v>
      </c>
    </row>
    <row r="53" spans="2:27" x14ac:dyDescent="0.3">
      <c r="B53" s="248">
        <v>2013</v>
      </c>
      <c r="C53" s="124">
        <f>'Dados dos Bancos'!W15</f>
        <v>0.19732448292362528</v>
      </c>
      <c r="D53" s="124">
        <f>'Dados dos Bancos'!W33</f>
        <v>0.13868144858709558</v>
      </c>
      <c r="E53" s="124">
        <f>'Dados dos Bancos'!W51</f>
        <v>0.12832411377253097</v>
      </c>
      <c r="F53" s="124">
        <f>'Dados dos Bancos'!W68</f>
        <v>0.10116414880661027</v>
      </c>
      <c r="G53" s="124">
        <f>'Dados dos Bancos'!W85</f>
        <v>0.11812873188813514</v>
      </c>
      <c r="H53" s="242">
        <f t="shared" si="1"/>
        <v>8.2899999999999988E-2</v>
      </c>
      <c r="I53" s="242">
        <f>'Dados dos Bancos'!W102</f>
        <v>0.14970986329223868</v>
      </c>
      <c r="K53" s="248">
        <v>2013</v>
      </c>
      <c r="L53" s="124">
        <f>'Dados dos Bancos'!X15</f>
        <v>0.19754104830667302</v>
      </c>
      <c r="M53" s="124">
        <f>'Dados dos Bancos'!X33</f>
        <v>0.15096224763329769</v>
      </c>
      <c r="N53" s="124">
        <f>'Dados dos Bancos'!X51</f>
        <v>4.8252994182054809E-2</v>
      </c>
      <c r="O53" s="124">
        <f>'Dados dos Bancos'!X68</f>
        <v>-0.16950751644004725</v>
      </c>
      <c r="P53" s="124">
        <f>'Dados dos Bancos'!X85</f>
        <v>0.16591003355868744</v>
      </c>
      <c r="Q53" s="242">
        <f>H16</f>
        <v>8.2899999999999988E-2</v>
      </c>
      <c r="R53" s="242">
        <f>'Dados dos Bancos'!X102</f>
        <v>0.12182596719786806</v>
      </c>
      <c r="T53" s="248">
        <v>2013</v>
      </c>
      <c r="U53" s="124">
        <f>('Dados dos Bancos'!Q15+'Dados dos Bancos'!S15 )/('Dados dos Bancos'!F15+'Dados dos Bancos'!R15)</f>
        <v>8.2073041791101919E-2</v>
      </c>
      <c r="V53" s="124">
        <f>('Dados dos Bancos'!Q33+'Dados dos Bancos'!S33)/('Dados dos Bancos'!F33+'Dados dos Bancos'!R33)</f>
        <v>8.6298827425808133E-2</v>
      </c>
      <c r="W53" s="124">
        <f>('Dados dos Bancos'!S51+'Dados dos Bancos'!Q51)/('Dados dos Bancos'!F51+'Dados dos Bancos'!R51)</f>
        <v>6.0435277106047201E-2</v>
      </c>
      <c r="X53" s="124">
        <f>('Dados dos Bancos'!S68+'Dados dos Bancos'!Q68)/('Dados dos Bancos'!F68+'Dados dos Bancos'!R68)</f>
        <v>3.0521958850309602E-2</v>
      </c>
      <c r="Y53" s="124">
        <f>('Dados dos Bancos'!S85+'Dados dos Bancos'!Q85)/('Dados dos Bancos'!F85+'Dados dos Bancos'!R85)</f>
        <v>8.7264184682671345E-2</v>
      </c>
      <c r="Z53" s="242">
        <v>8.2899999999999988E-2</v>
      </c>
      <c r="AA53" s="242">
        <f>('Dados dos Bancos'!S102+'Dados dos Bancos'!Q102)/('Dados dos Bancos'!F102+'Dados dos Bancos'!R102)</f>
        <v>7.4861402918786096E-2</v>
      </c>
    </row>
    <row r="54" spans="2:27" x14ac:dyDescent="0.3">
      <c r="B54" s="248">
        <v>2014</v>
      </c>
      <c r="C54" s="124">
        <f>'Dados dos Bancos'!W16</f>
        <v>0.14171276950186465</v>
      </c>
      <c r="D54" s="124">
        <f>'Dados dos Bancos'!W34</f>
        <v>0.13520045229770083</v>
      </c>
      <c r="E54" s="124">
        <f>'Dados dos Bancos'!W52</f>
        <v>0.14742776613888708</v>
      </c>
      <c r="F54" s="124">
        <f>'Dados dos Bancos'!W69</f>
        <v>6.9569347511643662E-2</v>
      </c>
      <c r="G54" s="124">
        <f>'Dados dos Bancos'!W86</f>
        <v>0.15216415079847939</v>
      </c>
      <c r="H54" s="242">
        <f t="shared" si="1"/>
        <v>0.1096</v>
      </c>
      <c r="I54" s="242">
        <f>'Dados dos Bancos'!W103</f>
        <v>0.14086916887407291</v>
      </c>
      <c r="K54" s="248">
        <v>2014</v>
      </c>
      <c r="L54" s="124">
        <f>'Dados dos Bancos'!X16</f>
        <v>6.5587800085093309E-2</v>
      </c>
      <c r="M54" s="124">
        <f>'Dados dos Bancos'!X34</f>
        <v>8.5434514722962485E-2</v>
      </c>
      <c r="N54" s="124">
        <f>'Dados dos Bancos'!X52</f>
        <v>-5.5585550025917634E-2</v>
      </c>
      <c r="O54" s="124">
        <f>'Dados dos Bancos'!X69</f>
        <v>6.0310701735801338E-2</v>
      </c>
      <c r="P54" s="124">
        <f>'Dados dos Bancos'!X86</f>
        <v>0.12656278881893515</v>
      </c>
      <c r="Q54" s="242">
        <f t="shared" ref="Q54:Q57" si="3">H17</f>
        <v>0.1096</v>
      </c>
      <c r="R54" s="242">
        <f>'Dados dos Bancos'!X103</f>
        <v>2.8077504557257847E-2</v>
      </c>
      <c r="T54" s="248">
        <v>2014</v>
      </c>
      <c r="U54" s="124">
        <f>('Dados dos Bancos'!Q16+'Dados dos Bancos'!S16 )/('Dados dos Bancos'!F16+'Dados dos Bancos'!R16)</f>
        <v>6.436552342556616E-2</v>
      </c>
      <c r="V54" s="124">
        <f>('Dados dos Bancos'!Q34+'Dados dos Bancos'!S34)/('Dados dos Bancos'!F34+'Dados dos Bancos'!R34)</f>
        <v>7.1200429346909025E-2</v>
      </c>
      <c r="W54" s="124">
        <f>('Dados dos Bancos'!S52+'Dados dos Bancos'!Q52)/('Dados dos Bancos'!F52+'Dados dos Bancos'!R52)</f>
        <v>0.10798345433712611</v>
      </c>
      <c r="X54" s="124">
        <f>('Dados dos Bancos'!S69+'Dados dos Bancos'!Q69)/('Dados dos Bancos'!F69+'Dados dos Bancos'!R69)</f>
        <v>1.991471983026433E-2</v>
      </c>
      <c r="Y54" s="124">
        <f>('Dados dos Bancos'!S86+'Dados dos Bancos'!Q86)/('Dados dos Bancos'!F86+'Dados dos Bancos'!R86)</f>
        <v>8.9190770551779222E-2</v>
      </c>
      <c r="Z54" s="242">
        <v>0.1096</v>
      </c>
      <c r="AA54" s="242">
        <f>('Dados dos Bancos'!S103+'Dados dos Bancos'!Q103)/('Dados dos Bancos'!F103+'Dados dos Bancos'!R103)</f>
        <v>8.2024717255467186E-2</v>
      </c>
    </row>
    <row r="55" spans="2:27" x14ac:dyDescent="0.3">
      <c r="B55" s="248">
        <v>2015</v>
      </c>
      <c r="C55" s="124">
        <f>'Dados dos Bancos'!W17</f>
        <v>0.16960281311892067</v>
      </c>
      <c r="D55" s="124">
        <f>'Dados dos Bancos'!W35</f>
        <v>0.11469052167070054</v>
      </c>
      <c r="E55" s="124">
        <f>'Dados dos Bancos'!W53</f>
        <v>0.12677961366812773</v>
      </c>
      <c r="F55" s="124">
        <f>'Dados dos Bancos'!W70</f>
        <v>0.11964963156850431</v>
      </c>
      <c r="G55" s="124">
        <f>'Dados dos Bancos'!W87</f>
        <v>0.1170166176473413</v>
      </c>
      <c r="H55" s="242">
        <f t="shared" si="1"/>
        <v>0.13470000000000001</v>
      </c>
      <c r="I55" s="242">
        <f>'Dados dos Bancos'!W104</f>
        <v>0.13428619824092161</v>
      </c>
      <c r="K55" s="248">
        <v>2015</v>
      </c>
      <c r="L55" s="124">
        <f>'Dados dos Bancos'!X17</f>
        <v>2.1045428020188557E-2</v>
      </c>
      <c r="M55" s="124">
        <f>'Dados dos Bancos'!X35</f>
        <v>8.2735406076594964E-2</v>
      </c>
      <c r="N55" s="124">
        <f>'Dados dos Bancos'!X53</f>
        <v>0.1094974643518903</v>
      </c>
      <c r="O55" s="124">
        <f>'Dados dos Bancos'!X70</f>
        <v>0.13742174633859261</v>
      </c>
      <c r="P55" s="124">
        <f>'Dados dos Bancos'!X87</f>
        <v>4.4292405638440766E-2</v>
      </c>
      <c r="Q55" s="242">
        <f t="shared" si="3"/>
        <v>0.13470000000000001</v>
      </c>
      <c r="R55" s="242">
        <f>'Dados dos Bancos'!X104</f>
        <v>7.5608107081509224E-2</v>
      </c>
      <c r="T55" s="248">
        <v>2015</v>
      </c>
      <c r="U55" s="124">
        <f>('Dados dos Bancos'!Q17+'Dados dos Bancos'!S17 )/('Dados dos Bancos'!F17+'Dados dos Bancos'!R17)</f>
        <v>6.8155848640727518E-2</v>
      </c>
      <c r="V55" s="124">
        <f>('Dados dos Bancos'!Q35+'Dados dos Bancos'!S35)/('Dados dos Bancos'!F35+'Dados dos Bancos'!R35)</f>
        <v>2.8031602666539378E-2</v>
      </c>
      <c r="W55" s="124">
        <f>('Dados dos Bancos'!S53+'Dados dos Bancos'!Q53)/('Dados dos Bancos'!F53+'Dados dos Bancos'!R53)</f>
        <v>8.3285538329104056E-2</v>
      </c>
      <c r="X55" s="124">
        <f>('Dados dos Bancos'!S70+'Dados dos Bancos'!Q70)/('Dados dos Bancos'!F70+'Dados dos Bancos'!R70)</f>
        <v>8.3215750004604017E-2</v>
      </c>
      <c r="Y55" s="124">
        <f>('Dados dos Bancos'!S87+'Dados dos Bancos'!Q87)/('Dados dos Bancos'!F87+'Dados dos Bancos'!R87)</f>
        <v>7.930041575520029E-2</v>
      </c>
      <c r="Z55" s="242">
        <v>0.13470000000000001</v>
      </c>
      <c r="AA55" s="242">
        <f>('Dados dos Bancos'!S104+'Dados dos Bancos'!Q104)/('Dados dos Bancos'!F104+'Dados dos Bancos'!R104)</f>
        <v>6.0756783236240244E-2</v>
      </c>
    </row>
    <row r="56" spans="2:27" x14ac:dyDescent="0.3">
      <c r="B56" s="248">
        <v>2016</v>
      </c>
      <c r="C56" s="124">
        <f>'Dados dos Bancos'!W18</f>
        <v>8.7015141101871668E-2</v>
      </c>
      <c r="D56" s="124">
        <f>'Dados dos Bancos'!W36</f>
        <v>6.5486072207236914E-2</v>
      </c>
      <c r="E56" s="124">
        <f>'Dados dos Bancos'!W54</f>
        <v>0.11457319801940043</v>
      </c>
      <c r="F56" s="124">
        <f>'Dados dos Bancos'!W71</f>
        <v>9.5360194724581557E-2</v>
      </c>
      <c r="G56" s="124">
        <f>'Dados dos Bancos'!W88</f>
        <v>0.13178657937272611</v>
      </c>
      <c r="H56" s="242">
        <f t="shared" si="1"/>
        <v>0.14180000000000001</v>
      </c>
      <c r="I56" s="242">
        <f>'Dados dos Bancos'!W105</f>
        <v>9.1832213784416014E-2</v>
      </c>
      <c r="K56" s="248">
        <v>2016</v>
      </c>
      <c r="L56" s="124">
        <f>'Dados dos Bancos'!X18</f>
        <v>8.8127200118232898E-2</v>
      </c>
      <c r="M56" s="124">
        <f>'Dados dos Bancos'!X36</f>
        <v>3.3770335842621346E-2</v>
      </c>
      <c r="N56" s="124">
        <f>'Dados dos Bancos'!X54</f>
        <v>0.35980496646443355</v>
      </c>
      <c r="O56" s="124">
        <f>'Dados dos Bancos'!X71</f>
        <v>7.6688653074774432E-2</v>
      </c>
      <c r="P56" s="124">
        <f>'Dados dos Bancos'!X88</f>
        <v>0.12531436166681012</v>
      </c>
      <c r="Q56" s="242">
        <f t="shared" si="3"/>
        <v>0.14180000000000001</v>
      </c>
      <c r="R56" s="242">
        <f>'Dados dos Bancos'!X105</f>
        <v>0.17759061549953303</v>
      </c>
      <c r="T56" s="248">
        <v>2016</v>
      </c>
      <c r="U56" s="124">
        <f>('Dados dos Bancos'!Q18+'Dados dos Bancos'!S18 )/('Dados dos Bancos'!F18+'Dados dos Bancos'!R18)</f>
        <v>3.1294479366408598E-2</v>
      </c>
      <c r="V56" s="124">
        <f>('Dados dos Bancos'!Q36+'Dados dos Bancos'!S36)/('Dados dos Bancos'!F36+'Dados dos Bancos'!R36)</f>
        <v>1.0710727002998369E-2</v>
      </c>
      <c r="W56" s="124">
        <f>('Dados dos Bancos'!S54+'Dados dos Bancos'!Q54)/('Dados dos Bancos'!F54+'Dados dos Bancos'!R54)</f>
        <v>4.6341074764292813E-2</v>
      </c>
      <c r="X56" s="124">
        <f>('Dados dos Bancos'!S71+'Dados dos Bancos'!Q71)/('Dados dos Bancos'!F71+'Dados dos Bancos'!R71)</f>
        <v>6.4125219332666031E-2</v>
      </c>
      <c r="Y56" s="124">
        <f>('Dados dos Bancos'!S88+'Dados dos Bancos'!Q88)/('Dados dos Bancos'!F88+'Dados dos Bancos'!R88)</f>
        <v>3.2883489609244809E-2</v>
      </c>
      <c r="Z56" s="242">
        <v>0.14180000000000001</v>
      </c>
      <c r="AA56" s="242">
        <f>('Dados dos Bancos'!S105+'Dados dos Bancos'!Q105)/('Dados dos Bancos'!F105+'Dados dos Bancos'!R105)</f>
        <v>3.2058010628065681E-2</v>
      </c>
    </row>
    <row r="57" spans="2:27" x14ac:dyDescent="0.3">
      <c r="B57" s="248">
        <v>2017</v>
      </c>
      <c r="C57" s="124">
        <f>'Dados dos Bancos'!W19</f>
        <v>0.10765871932454871</v>
      </c>
      <c r="D57" s="124">
        <f>'Dados dos Bancos'!W37</f>
        <v>0.12679875863466286</v>
      </c>
      <c r="E57" s="124">
        <f>'Dados dos Bancos'!W55</f>
        <v>9.1989692336650788E-2</v>
      </c>
      <c r="F57" s="124">
        <f>'Dados dos Bancos'!W72</f>
        <v>5.8402371073458061E-2</v>
      </c>
      <c r="G57" s="124">
        <f>'Dados dos Bancos'!W89</f>
        <v>0.12594470039773087</v>
      </c>
      <c r="H57" s="242">
        <f>H20</f>
        <v>0.1011</v>
      </c>
      <c r="I57" s="242">
        <f>'Dados dos Bancos'!W106</f>
        <v>0.10637789293696683</v>
      </c>
      <c r="K57" s="248">
        <v>2017</v>
      </c>
      <c r="L57" s="124">
        <f>'Dados dos Bancos'!X19</f>
        <v>0.14130614831355953</v>
      </c>
      <c r="M57" s="124">
        <f>'Dados dos Bancos'!X37</f>
        <v>9.1436982127795302E-2</v>
      </c>
      <c r="N57" s="124">
        <f>'Dados dos Bancos'!X55</f>
        <v>0.14526005313627693</v>
      </c>
      <c r="O57" s="124">
        <f>'Dados dos Bancos'!X72</f>
        <v>1.8044341781244345E-2</v>
      </c>
      <c r="P57" s="124">
        <f>'Dados dos Bancos'!X89</f>
        <v>7.6421052091661432E-2</v>
      </c>
      <c r="Q57" s="242">
        <f t="shared" si="3"/>
        <v>0.1011</v>
      </c>
      <c r="R57" s="242">
        <f>'Dados dos Bancos'!X106</f>
        <v>0.12573020394186557</v>
      </c>
      <c r="T57" s="248">
        <v>2017</v>
      </c>
      <c r="U57" s="124">
        <f>('Dados dos Bancos'!Q19+'Dados dos Bancos'!S19 )/('Dados dos Bancos'!F19+'Dados dos Bancos'!R19)</f>
        <v>3.612995161005441E-2</v>
      </c>
      <c r="V57" s="124">
        <f>('Dados dos Bancos'!Q37+'Dados dos Bancos'!S37)/('Dados dos Bancos'!F37+'Dados dos Bancos'!R37)</f>
        <v>3.2148595909760894E-2</v>
      </c>
      <c r="W57" s="124">
        <f>('Dados dos Bancos'!S55+'Dados dos Bancos'!Q55)/('Dados dos Bancos'!F55+'Dados dos Bancos'!R55)</f>
        <v>4.0843469104899624E-2</v>
      </c>
      <c r="X57" s="124">
        <f>('Dados dos Bancos'!S72+'Dados dos Bancos'!Q72)/('Dados dos Bancos'!F72+'Dados dos Bancos'!R72)</f>
        <v>4.3462251690116784E-2</v>
      </c>
      <c r="Y57" s="124">
        <f>('Dados dos Bancos'!S89+'Dados dos Bancos'!Q89)/('Dados dos Bancos'!F89+'Dados dos Bancos'!R89)</f>
        <v>2.9987163055505996E-2</v>
      </c>
      <c r="Z57" s="242">
        <v>0.1011</v>
      </c>
      <c r="AA57" s="242">
        <f>('Dados dos Bancos'!S106+'Dados dos Bancos'!Q106)/('Dados dos Bancos'!F106+'Dados dos Bancos'!R106)</f>
        <v>3.6916850718103633E-2</v>
      </c>
    </row>
  </sheetData>
  <mergeCells count="6">
    <mergeCell ref="B3:I3"/>
    <mergeCell ref="B40:I40"/>
    <mergeCell ref="K40:R40"/>
    <mergeCell ref="T40:AA40"/>
    <mergeCell ref="K3:R3"/>
    <mergeCell ref="T3:AA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B3:G19"/>
  <sheetViews>
    <sheetView workbookViewId="0">
      <selection activeCell="B4" sqref="B4:B19"/>
    </sheetView>
  </sheetViews>
  <sheetFormatPr defaultRowHeight="14.4" x14ac:dyDescent="0.3"/>
  <sheetData>
    <row r="3" spans="2:7" x14ac:dyDescent="0.3">
      <c r="C3" t="s">
        <v>110</v>
      </c>
      <c r="D3" t="s">
        <v>111</v>
      </c>
      <c r="E3" t="s">
        <v>112</v>
      </c>
      <c r="F3" t="s">
        <v>113</v>
      </c>
      <c r="G3" t="str">
        <f>Indicadores!H4</f>
        <v>SELIC</v>
      </c>
    </row>
    <row r="4" spans="2:7" x14ac:dyDescent="0.3">
      <c r="B4">
        <v>2</v>
      </c>
      <c r="C4">
        <f>Indicadores!G5</f>
        <v>0.13745091923624139</v>
      </c>
      <c r="D4">
        <f>Indicadores!P5</f>
        <v>0.10409778981683636</v>
      </c>
      <c r="E4">
        <f>Indicadores!G42</f>
        <v>0.13745091923624139</v>
      </c>
      <c r="F4">
        <f>Indicadores!P42</f>
        <v>0.10409778981683636</v>
      </c>
      <c r="G4">
        <f>Indicadores!H5</f>
        <v>0.19210000000000002</v>
      </c>
    </row>
    <row r="5" spans="2:7" x14ac:dyDescent="0.3">
      <c r="B5">
        <v>3</v>
      </c>
      <c r="C5">
        <f>Indicadores!G6</f>
        <v>6.8168851787566501E-2</v>
      </c>
      <c r="D5">
        <f>Indicadores!P6</f>
        <v>0.13301516106163641</v>
      </c>
      <c r="E5">
        <f>Indicadores!G43</f>
        <v>6.8168851787566501E-2</v>
      </c>
      <c r="F5">
        <f>Indicadores!P43</f>
        <v>0.13301516106163641</v>
      </c>
      <c r="G5">
        <f>Indicadores!H6</f>
        <v>0.23469999999999999</v>
      </c>
    </row>
    <row r="6" spans="2:7" x14ac:dyDescent="0.3">
      <c r="B6">
        <v>4</v>
      </c>
      <c r="C6">
        <f>Indicadores!G7</f>
        <v>0.11452846040035894</v>
      </c>
      <c r="D6">
        <f>Indicadores!P7</f>
        <v>9.8992042000823177E-2</v>
      </c>
      <c r="E6">
        <f>Indicadores!G44</f>
        <v>0.11452846040035894</v>
      </c>
      <c r="F6">
        <f>Indicadores!P44</f>
        <v>9.8992042000823177E-2</v>
      </c>
      <c r="G6">
        <f>Indicadores!H7</f>
        <v>0.1638</v>
      </c>
    </row>
    <row r="7" spans="2:7" x14ac:dyDescent="0.3">
      <c r="B7">
        <v>5</v>
      </c>
      <c r="C7">
        <f>Indicadores!G8</f>
        <v>0.1156747750333403</v>
      </c>
      <c r="D7">
        <f>Indicadores!P8</f>
        <v>0.12261734886433499</v>
      </c>
      <c r="E7">
        <f>Indicadores!G45</f>
        <v>0.1156747750333403</v>
      </c>
      <c r="F7">
        <f>Indicadores!P45</f>
        <v>0.12261734886433499</v>
      </c>
      <c r="G7">
        <f>Indicadores!H8</f>
        <v>0.1913</v>
      </c>
    </row>
    <row r="8" spans="2:7" x14ac:dyDescent="0.3">
      <c r="B8">
        <v>6</v>
      </c>
      <c r="C8">
        <f>Indicadores!G9</f>
        <v>0.14063402335576139</v>
      </c>
      <c r="D8">
        <f>Indicadores!P9</f>
        <v>0.167132882413394</v>
      </c>
      <c r="E8">
        <f>Indicadores!G46</f>
        <v>0.14063402335576139</v>
      </c>
      <c r="F8">
        <f>Indicadores!P46</f>
        <v>0.167132882413394</v>
      </c>
      <c r="G8">
        <f>Indicadores!H9</f>
        <v>0.14910000000000001</v>
      </c>
    </row>
    <row r="9" spans="2:7" x14ac:dyDescent="0.3">
      <c r="B9">
        <v>7</v>
      </c>
      <c r="C9">
        <f>Indicadores!G10</f>
        <v>0.14154173414121873</v>
      </c>
      <c r="D9">
        <f>Indicadores!P10</f>
        <v>0.13889053193444514</v>
      </c>
      <c r="E9">
        <f>Indicadores!G47</f>
        <v>0.14154173414121873</v>
      </c>
      <c r="F9">
        <f>Indicadores!P47</f>
        <v>0.13889053193444514</v>
      </c>
      <c r="G9">
        <f>Indicadores!H10</f>
        <v>0.12039999999999999</v>
      </c>
    </row>
    <row r="10" spans="2:7" x14ac:dyDescent="0.3">
      <c r="B10">
        <v>8</v>
      </c>
      <c r="C10">
        <f>Indicadores!G11</f>
        <v>0.24766280649102448</v>
      </c>
      <c r="D10">
        <f>Indicadores!P11</f>
        <v>0.2457645812463346</v>
      </c>
      <c r="E10">
        <f>Indicadores!G48</f>
        <v>0.24766280649102448</v>
      </c>
      <c r="F10">
        <f>Indicadores!P48</f>
        <v>0.2457645812463346</v>
      </c>
      <c r="G10">
        <f>Indicadores!H11</f>
        <v>0.1245</v>
      </c>
    </row>
    <row r="11" spans="2:7" x14ac:dyDescent="0.3">
      <c r="B11">
        <v>9</v>
      </c>
      <c r="C11">
        <f>Indicadores!G12</f>
        <v>0.23720054859590248</v>
      </c>
      <c r="D11">
        <f>Indicadores!P12</f>
        <v>0.2666054129920491</v>
      </c>
      <c r="E11">
        <f>Indicadores!G49</f>
        <v>0.23720054859590248</v>
      </c>
      <c r="F11">
        <f>Indicadores!P49</f>
        <v>0.2666054129920491</v>
      </c>
      <c r="G11">
        <f>Indicadores!H12</f>
        <v>0.1013</v>
      </c>
    </row>
    <row r="12" spans="2:7" x14ac:dyDescent="0.3">
      <c r="B12">
        <v>10</v>
      </c>
      <c r="C12">
        <f>Indicadores!G13</f>
        <v>0.14756957720391439</v>
      </c>
      <c r="D12">
        <f>Indicadores!P13</f>
        <v>0.11557005154982408</v>
      </c>
      <c r="E12">
        <f>Indicadores!G50</f>
        <v>0.11964462642876074</v>
      </c>
      <c r="F12">
        <f>Indicadores!P50</f>
        <v>9.4061209201448837E-2</v>
      </c>
      <c r="G12">
        <f>Indicadores!H13</f>
        <v>9.9000000000000005E-2</v>
      </c>
    </row>
    <row r="13" spans="2:7" x14ac:dyDescent="0.3">
      <c r="B13">
        <v>11</v>
      </c>
      <c r="C13">
        <f>Indicadores!G14</f>
        <v>0.1396984182032765</v>
      </c>
      <c r="D13">
        <f>Indicadores!P14</f>
        <v>0.13970684983725837</v>
      </c>
      <c r="E13">
        <f>Indicadores!G51</f>
        <v>0.13363564979798162</v>
      </c>
      <c r="F13">
        <f>Indicadores!P51</f>
        <v>0.1336412540868252</v>
      </c>
      <c r="G13">
        <f>Indicadores!H14</f>
        <v>0.1176</v>
      </c>
    </row>
    <row r="14" spans="2:7" x14ac:dyDescent="0.3">
      <c r="B14">
        <v>12</v>
      </c>
      <c r="C14">
        <f>Indicadores!G15</f>
        <v>0.32732937715055105</v>
      </c>
      <c r="D14">
        <f>Indicadores!P15</f>
        <v>0.2211120530593926</v>
      </c>
      <c r="E14">
        <f>Indicadores!G52</f>
        <v>0.25854246555513793</v>
      </c>
      <c r="F14">
        <f>Indicadores!P52</f>
        <v>0.18751810383746573</v>
      </c>
      <c r="G14">
        <f>Indicadores!H15</f>
        <v>8.6199999999999999E-2</v>
      </c>
    </row>
    <row r="15" spans="2:7" x14ac:dyDescent="0.3">
      <c r="B15">
        <v>13</v>
      </c>
      <c r="C15">
        <f>Indicadores!G16</f>
        <v>0.12008934954291052</v>
      </c>
      <c r="D15">
        <f>Indicadores!P16</f>
        <v>0.19095218660769359</v>
      </c>
      <c r="E15">
        <f>Indicadores!G53</f>
        <v>0.11812873188813514</v>
      </c>
      <c r="F15">
        <f>Indicadores!P53</f>
        <v>0.16591003355868744</v>
      </c>
      <c r="G15">
        <f>Indicadores!H16</f>
        <v>8.2899999999999988E-2</v>
      </c>
    </row>
    <row r="16" spans="2:7" x14ac:dyDescent="0.3">
      <c r="B16">
        <v>14</v>
      </c>
      <c r="C16">
        <f>Indicadores!G17</f>
        <v>0.17675692022836348</v>
      </c>
      <c r="D16">
        <f>Indicadores!P17</f>
        <v>0.13554832720502916</v>
      </c>
      <c r="E16">
        <f>Indicadores!G54</f>
        <v>0.15216415079847939</v>
      </c>
      <c r="F16">
        <f>Indicadores!P54</f>
        <v>0.12656278881893515</v>
      </c>
      <c r="G16">
        <f>Indicadores!H17</f>
        <v>0.1096</v>
      </c>
    </row>
    <row r="17" spans="2:7" x14ac:dyDescent="0.3">
      <c r="B17">
        <v>15</v>
      </c>
      <c r="C17">
        <f>Indicadores!G18</f>
        <v>9.8445740175285928E-2</v>
      </c>
      <c r="D17">
        <f>Indicadores!P18</f>
        <v>-3.9887972861031122E-2</v>
      </c>
      <c r="E17">
        <f>Indicadores!G55</f>
        <v>0.1170166176473413</v>
      </c>
      <c r="F17">
        <f>Indicadores!P55</f>
        <v>4.4292405638440766E-2</v>
      </c>
      <c r="G17">
        <f>Indicadores!H18</f>
        <v>0.13470000000000001</v>
      </c>
    </row>
    <row r="18" spans="2:7" x14ac:dyDescent="0.3">
      <c r="B18">
        <v>16</v>
      </c>
      <c r="C18">
        <f>Indicadores!G19</f>
        <v>0.23593574983954219</v>
      </c>
      <c r="D18">
        <f>Indicadores!P19</f>
        <v>0.22434862507434719</v>
      </c>
      <c r="E18">
        <f>Indicadores!G56</f>
        <v>0.13178657937272611</v>
      </c>
      <c r="F18">
        <f>Indicadores!P56</f>
        <v>0.12531436166681012</v>
      </c>
      <c r="G18">
        <f>Indicadores!H19</f>
        <v>0.14180000000000001</v>
      </c>
    </row>
    <row r="19" spans="2:7" x14ac:dyDescent="0.3">
      <c r="B19">
        <v>17</v>
      </c>
      <c r="C19">
        <f>Indicadores!G20</f>
        <v>0.19747754083839425</v>
      </c>
      <c r="D19">
        <f>Indicadores!P20</f>
        <v>0.11982593461801609</v>
      </c>
      <c r="E19">
        <f>Indicadores!G57</f>
        <v>0.12594470039773087</v>
      </c>
      <c r="F19">
        <f>Indicadores!P57</f>
        <v>7.6421052091661432E-2</v>
      </c>
      <c r="G19">
        <f>Indicadores!H20</f>
        <v>0.1011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B3:G19"/>
  <sheetViews>
    <sheetView workbookViewId="0">
      <selection activeCell="I14" sqref="I14"/>
    </sheetView>
  </sheetViews>
  <sheetFormatPr defaultRowHeight="14.4" x14ac:dyDescent="0.3"/>
  <sheetData>
    <row r="3" spans="2:7" x14ac:dyDescent="0.3">
      <c r="C3" t="s">
        <v>110</v>
      </c>
      <c r="D3" t="s">
        <v>111</v>
      </c>
      <c r="E3" t="s">
        <v>112</v>
      </c>
      <c r="F3" t="s">
        <v>113</v>
      </c>
      <c r="G3" t="str">
        <f>Indicadores!H4</f>
        <v>SELIC</v>
      </c>
    </row>
    <row r="4" spans="2:7" x14ac:dyDescent="0.3">
      <c r="B4">
        <v>2</v>
      </c>
      <c r="C4" s="94">
        <f>Indicadores!F5</f>
        <v>0.1396646397882832</v>
      </c>
      <c r="D4" s="94">
        <f>Indicadores!O5</f>
        <v>0.1396646397882832</v>
      </c>
      <c r="E4" s="94">
        <f>Indicadores!F42</f>
        <v>0.1396646397882832</v>
      </c>
      <c r="F4" s="94">
        <f>Indicadores!O42</f>
        <v>0.1396646397882832</v>
      </c>
      <c r="G4" s="94">
        <f>Indicadores!H5</f>
        <v>0.19210000000000002</v>
      </c>
    </row>
    <row r="5" spans="2:7" x14ac:dyDescent="0.3">
      <c r="B5">
        <v>3</v>
      </c>
      <c r="C5" s="94">
        <f>Indicadores!F6</f>
        <v>0.22120616227309067</v>
      </c>
      <c r="D5" s="94">
        <f>Indicadores!O6</f>
        <v>0.22120616227309067</v>
      </c>
      <c r="E5" s="94">
        <f>Indicadores!F43</f>
        <v>0.22120616227309067</v>
      </c>
      <c r="F5" s="94">
        <f>Indicadores!O43</f>
        <v>0.22120616227309067</v>
      </c>
      <c r="G5" s="94">
        <f>Indicadores!H6</f>
        <v>0.23469999999999999</v>
      </c>
    </row>
    <row r="6" spans="2:7" x14ac:dyDescent="0.3">
      <c r="B6">
        <v>4</v>
      </c>
      <c r="C6" s="94">
        <f>Indicadores!F7</f>
        <v>7.9202724798270993E-2</v>
      </c>
      <c r="D6" s="94">
        <f>Indicadores!O7</f>
        <v>7.9202724798270993E-2</v>
      </c>
      <c r="E6" s="94">
        <f>Indicadores!F44</f>
        <v>7.9202724798270993E-2</v>
      </c>
      <c r="F6" s="94">
        <f>Indicadores!O44</f>
        <v>7.9202724798270993E-2</v>
      </c>
      <c r="G6" s="94">
        <f>Indicadores!H7</f>
        <v>0.1638</v>
      </c>
    </row>
    <row r="7" spans="2:7" x14ac:dyDescent="0.3">
      <c r="B7">
        <v>5</v>
      </c>
      <c r="C7" s="94">
        <f>Indicadores!F8</f>
        <v>0.16262464614603589</v>
      </c>
      <c r="D7" s="94">
        <f>Indicadores!O8</f>
        <v>0.16262464614603589</v>
      </c>
      <c r="E7" s="94">
        <f>Indicadores!F45</f>
        <v>0.16262464614603589</v>
      </c>
      <c r="F7" s="94">
        <f>Indicadores!O45</f>
        <v>0.16262464614603589</v>
      </c>
      <c r="G7" s="94">
        <f>Indicadores!H8</f>
        <v>0.1913</v>
      </c>
    </row>
    <row r="8" spans="2:7" x14ac:dyDescent="0.3">
      <c r="B8">
        <v>6</v>
      </c>
      <c r="C8" s="94">
        <f>Indicadores!F9</f>
        <v>0.10038550232371408</v>
      </c>
      <c r="D8" s="94">
        <f>Indicadores!O9</f>
        <v>0.10038550232371408</v>
      </c>
      <c r="E8" s="94">
        <f>Indicadores!F46</f>
        <v>0.10038550232371408</v>
      </c>
      <c r="F8" s="94">
        <f>Indicadores!O46</f>
        <v>0.10038550232371408</v>
      </c>
      <c r="G8" s="94">
        <f>Indicadores!H9</f>
        <v>0.14910000000000001</v>
      </c>
    </row>
    <row r="9" spans="2:7" x14ac:dyDescent="0.3">
      <c r="B9">
        <v>7</v>
      </c>
      <c r="C9" s="94">
        <f>Indicadores!F10</f>
        <v>0.1027956204671738</v>
      </c>
      <c r="D9" s="94">
        <f>Indicadores!O10</f>
        <v>0.1027956204671738</v>
      </c>
      <c r="E9" s="94">
        <f>Indicadores!F47</f>
        <v>0.1027956204671738</v>
      </c>
      <c r="F9" s="94">
        <f>Indicadores!O47</f>
        <v>0.1027956204671738</v>
      </c>
      <c r="G9" s="94">
        <f>Indicadores!H10</f>
        <v>0.12039999999999999</v>
      </c>
    </row>
    <row r="10" spans="2:7" x14ac:dyDescent="0.3">
      <c r="B10">
        <v>8</v>
      </c>
      <c r="C10" s="94">
        <f>Indicadores!F11</f>
        <v>0.11718212414790517</v>
      </c>
      <c r="D10" s="94">
        <f>Indicadores!O11</f>
        <v>0.11718212414790517</v>
      </c>
      <c r="E10" s="94">
        <f>Indicadores!F48</f>
        <v>0.11718212414790517</v>
      </c>
      <c r="F10" s="94">
        <f>Indicadores!O48</f>
        <v>0.11718212414790517</v>
      </c>
      <c r="G10" s="94">
        <f>Indicadores!H11</f>
        <v>0.1245</v>
      </c>
    </row>
    <row r="11" spans="2:7" x14ac:dyDescent="0.3">
      <c r="B11">
        <v>9</v>
      </c>
      <c r="C11" s="94">
        <f>Indicadores!F12</f>
        <v>1.3904768198790603E-2</v>
      </c>
      <c r="D11" s="94">
        <f>Indicadores!O12</f>
        <v>1.3904768198790603E-2</v>
      </c>
      <c r="E11" s="94">
        <f>Indicadores!F49</f>
        <v>1.3904768198790603E-2</v>
      </c>
      <c r="F11" s="94">
        <f>Indicadores!O49</f>
        <v>1.3904768198790603E-2</v>
      </c>
      <c r="G11" s="94">
        <f>Indicadores!H12</f>
        <v>0.1013</v>
      </c>
    </row>
    <row r="12" spans="2:7" x14ac:dyDescent="0.3">
      <c r="B12">
        <v>10</v>
      </c>
      <c r="C12" s="94">
        <f>Indicadores!F13</f>
        <v>7.4218531792541231E-2</v>
      </c>
      <c r="D12" s="94">
        <f>Indicadores!O13</f>
        <v>7.4218531792541231E-2</v>
      </c>
      <c r="E12" s="94">
        <f>Indicadores!F50</f>
        <v>7.4218531792541231E-2</v>
      </c>
      <c r="F12" s="94">
        <f>Indicadores!O50</f>
        <v>7.4218531792541231E-2</v>
      </c>
      <c r="G12" s="94">
        <f>Indicadores!H13</f>
        <v>9.9000000000000005E-2</v>
      </c>
    </row>
    <row r="13" spans="2:7" x14ac:dyDescent="0.3">
      <c r="B13">
        <v>11</v>
      </c>
      <c r="C13" s="94">
        <f>Indicadores!F14</f>
        <v>4.0626429258599203E-2</v>
      </c>
      <c r="D13" s="94">
        <f>Indicadores!O14</f>
        <v>4.2855070818834447E-2</v>
      </c>
      <c r="E13" s="94">
        <f>Indicadores!F51</f>
        <v>4.0626429258599203E-2</v>
      </c>
      <c r="F13" s="94">
        <f>Indicadores!O51</f>
        <v>4.2855070818834447E-2</v>
      </c>
      <c r="G13" s="94">
        <f>Indicadores!H14</f>
        <v>0.1176</v>
      </c>
    </row>
    <row r="14" spans="2:7" x14ac:dyDescent="0.3">
      <c r="B14">
        <v>12</v>
      </c>
      <c r="C14" s="94">
        <f>Indicadores!F15</f>
        <v>8.6953391713781775E-2</v>
      </c>
      <c r="D14" s="94">
        <f>Indicadores!O15</f>
        <v>6.5940821187900789E-2</v>
      </c>
      <c r="E14" s="94">
        <f>Indicadores!F52</f>
        <v>8.6953391713781775E-2</v>
      </c>
      <c r="F14" s="94">
        <f>Indicadores!O52</f>
        <v>6.5940821187900789E-2</v>
      </c>
      <c r="G14" s="94">
        <f>Indicadores!H15</f>
        <v>8.6199999999999999E-2</v>
      </c>
    </row>
    <row r="15" spans="2:7" x14ac:dyDescent="0.3">
      <c r="B15">
        <v>13</v>
      </c>
      <c r="C15" s="94">
        <f>Indicadores!F16</f>
        <v>0.10116414880661027</v>
      </c>
      <c r="D15" s="94">
        <f>Indicadores!O16</f>
        <v>-0.16950751644004725</v>
      </c>
      <c r="E15" s="94">
        <f>Indicadores!F53</f>
        <v>0.10116414880661027</v>
      </c>
      <c r="F15" s="94">
        <f>Indicadores!O53</f>
        <v>-0.16950751644004725</v>
      </c>
      <c r="G15" s="94">
        <f>Indicadores!H16</f>
        <v>8.2899999999999988E-2</v>
      </c>
    </row>
    <row r="16" spans="2:7" x14ac:dyDescent="0.3">
      <c r="B16">
        <v>14</v>
      </c>
      <c r="C16" s="94">
        <f>Indicadores!F17</f>
        <v>8.4820528854318483E-2</v>
      </c>
      <c r="D16" s="94">
        <f>Indicadores!O17</f>
        <v>7.3339910628046567E-2</v>
      </c>
      <c r="E16" s="94">
        <f>Indicadores!F54</f>
        <v>6.9569347511643662E-2</v>
      </c>
      <c r="F16" s="94">
        <f>Indicadores!O54</f>
        <v>6.0310701735801338E-2</v>
      </c>
      <c r="G16" s="94">
        <f>Indicadores!H17</f>
        <v>0.1096</v>
      </c>
    </row>
    <row r="17" spans="2:7" x14ac:dyDescent="0.3">
      <c r="B17">
        <v>15</v>
      </c>
      <c r="C17" s="94">
        <f>Indicadores!F18</f>
        <v>0.1078280679187591</v>
      </c>
      <c r="D17" s="94">
        <f>Indicadores!O18</f>
        <v>0.13357197149335084</v>
      </c>
      <c r="E17" s="94">
        <f>Indicadores!F55</f>
        <v>0.11964963156850431</v>
      </c>
      <c r="F17" s="94">
        <f>Indicadores!O55</f>
        <v>0.13742174633859261</v>
      </c>
      <c r="G17" s="94">
        <f>Indicadores!H18</f>
        <v>0.13470000000000001</v>
      </c>
    </row>
    <row r="18" spans="2:7" x14ac:dyDescent="0.3">
      <c r="B18">
        <v>16</v>
      </c>
      <c r="C18" s="94">
        <f>Indicadores!F19</f>
        <v>6.7260637390687245E-2</v>
      </c>
      <c r="D18" s="94">
        <f>Indicadores!O19</f>
        <v>3.8640819797242432E-2</v>
      </c>
      <c r="E18" s="94">
        <f>Indicadores!F56</f>
        <v>9.5360194724581557E-2</v>
      </c>
      <c r="F18" s="94">
        <f>Indicadores!O56</f>
        <v>7.6688653074774432E-2</v>
      </c>
      <c r="G18" s="94">
        <f>Indicadores!H19</f>
        <v>0.14180000000000001</v>
      </c>
    </row>
    <row r="19" spans="2:7" x14ac:dyDescent="0.3">
      <c r="B19">
        <v>17</v>
      </c>
      <c r="C19" s="94">
        <f>Indicadores!F20</f>
        <v>3.3536011258046033E-2</v>
      </c>
      <c r="D19" s="94">
        <f>Indicadores!O20</f>
        <v>-2.8564382199793532E-2</v>
      </c>
      <c r="E19" s="94">
        <f>Indicadores!F57</f>
        <v>5.8402371073458061E-2</v>
      </c>
      <c r="F19" s="94">
        <f>Indicadores!O57</f>
        <v>1.8044341781244345E-2</v>
      </c>
      <c r="G19" s="94">
        <f>Indicadores!H20</f>
        <v>0.1011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3:U30"/>
  <sheetViews>
    <sheetView topLeftCell="M1" workbookViewId="0">
      <selection activeCell="U17" sqref="U17"/>
    </sheetView>
  </sheetViews>
  <sheetFormatPr defaultRowHeight="14.4" x14ac:dyDescent="0.3"/>
  <cols>
    <col min="2" max="2" width="11" bestFit="1" customWidth="1"/>
  </cols>
  <sheetData>
    <row r="3" spans="2:21" x14ac:dyDescent="0.3">
      <c r="B3" s="230" t="s">
        <v>114</v>
      </c>
      <c r="C3" s="230">
        <v>2000</v>
      </c>
      <c r="D3" s="230">
        <v>2001</v>
      </c>
      <c r="E3" s="230">
        <v>2002</v>
      </c>
      <c r="F3" s="230">
        <v>2003</v>
      </c>
      <c r="G3" s="230">
        <v>2004</v>
      </c>
      <c r="H3" s="230">
        <v>2005</v>
      </c>
      <c r="I3" s="230">
        <v>2006</v>
      </c>
      <c r="J3" s="230">
        <v>2007</v>
      </c>
      <c r="K3" s="230">
        <v>2008</v>
      </c>
      <c r="L3" s="230">
        <v>2009</v>
      </c>
      <c r="M3" s="230">
        <v>2010</v>
      </c>
      <c r="N3" s="230">
        <v>2011</v>
      </c>
      <c r="O3" s="230">
        <v>2012</v>
      </c>
      <c r="P3" s="230">
        <v>2013</v>
      </c>
      <c r="Q3" s="230">
        <v>2014</v>
      </c>
      <c r="R3" s="230">
        <v>2015</v>
      </c>
      <c r="S3" s="230">
        <v>2016</v>
      </c>
      <c r="T3" s="230">
        <v>2017</v>
      </c>
    </row>
    <row r="4" spans="2:21" x14ac:dyDescent="0.3">
      <c r="B4" s="230" t="s">
        <v>115</v>
      </c>
      <c r="C4" s="130">
        <v>0.01</v>
      </c>
      <c r="D4" s="130">
        <v>7.7079999999999996E-3</v>
      </c>
      <c r="E4" s="130">
        <v>8.3330000000000001E-3</v>
      </c>
      <c r="F4" s="130">
        <v>9.1669999999999998E-3</v>
      </c>
      <c r="G4" s="130">
        <v>8.3330000000000001E-3</v>
      </c>
      <c r="H4" s="130">
        <v>8.1250000000000003E-3</v>
      </c>
      <c r="I4" s="130">
        <v>7.4999999999999997E-3</v>
      </c>
      <c r="J4" s="130">
        <v>5.4169999999999999E-3</v>
      </c>
      <c r="K4" s="130">
        <v>5.208E-3</v>
      </c>
      <c r="L4" s="130">
        <v>5.208E-3</v>
      </c>
      <c r="M4" s="130">
        <v>5.0000000000000001E-3</v>
      </c>
      <c r="N4" s="130">
        <v>5.0000000000000001E-3</v>
      </c>
      <c r="O4" s="130">
        <v>5.0000000000000001E-3</v>
      </c>
      <c r="P4" s="130">
        <v>4.1669999999999997E-3</v>
      </c>
      <c r="Q4" s="130">
        <v>4.1669999999999997E-3</v>
      </c>
      <c r="R4" s="130">
        <v>4.5830000000000003E-3</v>
      </c>
      <c r="S4" s="130">
        <v>6.2500000000000003E-3</v>
      </c>
      <c r="T4" s="130">
        <v>6.2500000000000003E-3</v>
      </c>
    </row>
    <row r="5" spans="2:21" x14ac:dyDescent="0.3">
      <c r="B5" s="230" t="s">
        <v>116</v>
      </c>
      <c r="C5" s="130">
        <v>0.01</v>
      </c>
      <c r="D5" s="130">
        <v>7.7079999999999996E-3</v>
      </c>
      <c r="E5" s="130">
        <v>8.3330000000000001E-3</v>
      </c>
      <c r="F5" s="130">
        <v>9.1669999999999998E-3</v>
      </c>
      <c r="G5" s="130">
        <v>8.3330000000000001E-3</v>
      </c>
      <c r="H5" s="130">
        <v>8.1250000000000003E-3</v>
      </c>
      <c r="I5" s="130">
        <v>7.4999999999999997E-3</v>
      </c>
      <c r="J5" s="130">
        <v>5.4169999999999999E-3</v>
      </c>
      <c r="K5" s="130">
        <v>5.208E-3</v>
      </c>
      <c r="L5" s="130">
        <v>5.208E-3</v>
      </c>
      <c r="M5" s="130">
        <v>5.0000000000000001E-3</v>
      </c>
      <c r="N5" s="130">
        <v>5.0000000000000001E-3</v>
      </c>
      <c r="O5" s="130">
        <v>5.0000000000000001E-3</v>
      </c>
      <c r="P5" s="130">
        <v>4.1669999999999997E-3</v>
      </c>
      <c r="Q5" s="130">
        <v>4.1669999999999997E-3</v>
      </c>
      <c r="R5" s="130">
        <v>4.5830000000000003E-3</v>
      </c>
      <c r="S5" s="130">
        <v>6.2500000000000003E-3</v>
      </c>
      <c r="T5" s="130">
        <v>6.2500000000000003E-3</v>
      </c>
    </row>
    <row r="6" spans="2:21" x14ac:dyDescent="0.3">
      <c r="B6" s="230" t="s">
        <v>117</v>
      </c>
      <c r="C6" s="130">
        <v>0.01</v>
      </c>
      <c r="D6" s="130">
        <v>7.7079999999999996E-3</v>
      </c>
      <c r="E6" s="130">
        <v>8.3330000000000001E-3</v>
      </c>
      <c r="F6" s="130">
        <v>9.1669999999999998E-3</v>
      </c>
      <c r="G6" s="130">
        <v>8.3330000000000001E-3</v>
      </c>
      <c r="H6" s="130">
        <v>8.1250000000000003E-3</v>
      </c>
      <c r="I6" s="130">
        <v>7.4999999999999997E-3</v>
      </c>
      <c r="J6" s="130">
        <v>5.4169999999999999E-3</v>
      </c>
      <c r="K6" s="130">
        <v>5.208E-3</v>
      </c>
      <c r="L6" s="130">
        <v>5.208E-3</v>
      </c>
      <c r="M6" s="130">
        <v>5.0000000000000001E-3</v>
      </c>
      <c r="N6" s="130">
        <v>5.0000000000000001E-3</v>
      </c>
      <c r="O6" s="130">
        <v>5.0000000000000001E-3</v>
      </c>
      <c r="P6" s="130">
        <v>4.1669999999999997E-3</v>
      </c>
      <c r="Q6" s="130">
        <v>4.1669999999999997E-3</v>
      </c>
      <c r="R6" s="130">
        <v>4.5830000000000003E-3</v>
      </c>
      <c r="S6" s="130">
        <v>6.2500000000000003E-3</v>
      </c>
      <c r="T6" s="130">
        <v>6.2500000000000003E-3</v>
      </c>
    </row>
    <row r="7" spans="2:21" x14ac:dyDescent="0.3">
      <c r="B7" s="230" t="s">
        <v>118</v>
      </c>
      <c r="C7" s="130">
        <v>9.1669999999999998E-3</v>
      </c>
      <c r="D7" s="130">
        <v>7.7079999999999996E-3</v>
      </c>
      <c r="E7" s="130">
        <v>7.9170000000000004E-3</v>
      </c>
      <c r="F7" s="130">
        <v>0.01</v>
      </c>
      <c r="G7" s="130">
        <v>8.1250000000000003E-3</v>
      </c>
      <c r="H7" s="130">
        <v>8.1250000000000003E-3</v>
      </c>
      <c r="I7" s="130">
        <v>6.7920000000000003E-3</v>
      </c>
      <c r="J7" s="130">
        <v>5.4169999999999999E-3</v>
      </c>
      <c r="K7" s="130">
        <v>5.208E-3</v>
      </c>
      <c r="L7" s="130">
        <v>5.208E-3</v>
      </c>
      <c r="M7" s="130">
        <v>5.0000000000000001E-3</v>
      </c>
      <c r="N7" s="130">
        <v>5.0000000000000001E-3</v>
      </c>
      <c r="O7" s="130">
        <v>5.0000000000000001E-3</v>
      </c>
      <c r="P7" s="130">
        <v>4.1669999999999997E-3</v>
      </c>
      <c r="Q7" s="130">
        <v>4.1669999999999997E-3</v>
      </c>
      <c r="R7" s="229">
        <v>5.0000000000000001E-3</v>
      </c>
      <c r="S7" s="130">
        <v>6.2500000000000003E-3</v>
      </c>
      <c r="T7" s="130">
        <v>5.8329999999999996E-3</v>
      </c>
    </row>
    <row r="8" spans="2:21" x14ac:dyDescent="0.3">
      <c r="B8" s="230" t="s">
        <v>119</v>
      </c>
      <c r="C8" s="130">
        <v>9.1669999999999998E-3</v>
      </c>
      <c r="D8" s="130">
        <v>7.7079999999999996E-3</v>
      </c>
      <c r="E8" s="130">
        <v>7.9170000000000004E-3</v>
      </c>
      <c r="F8" s="130">
        <v>0.01</v>
      </c>
      <c r="G8" s="130">
        <v>8.1250000000000003E-3</v>
      </c>
      <c r="H8" s="130">
        <v>8.1250000000000003E-3</v>
      </c>
      <c r="I8" s="130">
        <v>6.7920000000000003E-3</v>
      </c>
      <c r="J8" s="130">
        <v>5.4169999999999999E-3</v>
      </c>
      <c r="K8" s="130">
        <v>5.208E-3</v>
      </c>
      <c r="L8" s="130">
        <v>5.208E-3</v>
      </c>
      <c r="M8" s="130">
        <v>5.0000000000000001E-3</v>
      </c>
      <c r="N8" s="130">
        <v>5.0000000000000001E-3</v>
      </c>
      <c r="O8" s="130">
        <v>5.0000000000000001E-3</v>
      </c>
      <c r="P8" s="130">
        <v>4.1669999999999997E-3</v>
      </c>
      <c r="Q8" s="130">
        <v>4.1669999999999997E-3</v>
      </c>
      <c r="R8" s="229">
        <v>5.0000000000000001E-3</v>
      </c>
      <c r="S8" s="130">
        <v>6.2500000000000003E-3</v>
      </c>
      <c r="T8" s="130">
        <v>5.8329999999999996E-3</v>
      </c>
    </row>
    <row r="9" spans="2:21" x14ac:dyDescent="0.3">
      <c r="B9" s="230" t="s">
        <v>120</v>
      </c>
      <c r="C9" s="130">
        <v>9.1669999999999998E-3</v>
      </c>
      <c r="D9" s="130">
        <v>7.7079999999999996E-3</v>
      </c>
      <c r="E9" s="130">
        <v>7.9170000000000004E-3</v>
      </c>
      <c r="F9" s="130">
        <v>0.01</v>
      </c>
      <c r="G9" s="130">
        <v>8.1250000000000003E-3</v>
      </c>
      <c r="H9" s="130">
        <v>8.1250000000000003E-3</v>
      </c>
      <c r="I9" s="130">
        <v>6.7920000000000003E-3</v>
      </c>
      <c r="J9" s="130">
        <v>5.4169999999999999E-3</v>
      </c>
      <c r="K9" s="130">
        <v>5.208E-3</v>
      </c>
      <c r="L9" s="130">
        <v>5.208E-3</v>
      </c>
      <c r="M9" s="130">
        <v>5.0000000000000001E-3</v>
      </c>
      <c r="N9" s="130">
        <v>5.0000000000000001E-3</v>
      </c>
      <c r="O9" s="130">
        <v>5.0000000000000001E-3</v>
      </c>
      <c r="P9" s="130">
        <v>4.1669999999999997E-3</v>
      </c>
      <c r="Q9" s="130">
        <v>4.1669999999999997E-3</v>
      </c>
      <c r="R9" s="229">
        <v>5.0000000000000001E-3</v>
      </c>
      <c r="S9" s="130">
        <v>6.2500000000000003E-3</v>
      </c>
      <c r="T9" s="130">
        <v>5.8329999999999996E-3</v>
      </c>
    </row>
    <row r="10" spans="2:21" x14ac:dyDescent="0.3">
      <c r="B10" s="230" t="s">
        <v>121</v>
      </c>
      <c r="C10" s="130">
        <v>8.5419999999999992E-3</v>
      </c>
      <c r="D10" s="130">
        <v>7.9170000000000004E-3</v>
      </c>
      <c r="E10" s="130">
        <v>8.3330000000000001E-3</v>
      </c>
      <c r="F10" s="130">
        <v>0.01</v>
      </c>
      <c r="G10" s="130">
        <v>8.1250000000000003E-3</v>
      </c>
      <c r="H10" s="130">
        <v>8.1250000000000003E-3</v>
      </c>
      <c r="I10" s="130">
        <v>6.2500000000000003E-3</v>
      </c>
      <c r="J10" s="130">
        <v>5.208E-3</v>
      </c>
      <c r="K10" s="130">
        <v>5.208E-3</v>
      </c>
      <c r="L10" s="130">
        <v>5.0000000000000001E-3</v>
      </c>
      <c r="M10" s="130">
        <v>5.0000000000000001E-3</v>
      </c>
      <c r="N10" s="130">
        <v>5.0000000000000001E-3</v>
      </c>
      <c r="O10" s="130">
        <v>4.5830000000000003E-3</v>
      </c>
      <c r="P10" s="130">
        <v>4.1669999999999997E-3</v>
      </c>
      <c r="Q10" s="130">
        <v>4.1669999999999997E-3</v>
      </c>
      <c r="R10" s="229">
        <v>5.4169999999999999E-3</v>
      </c>
      <c r="S10" s="130">
        <v>6.2500000000000003E-3</v>
      </c>
      <c r="T10" s="130">
        <v>5.8329999999999996E-3</v>
      </c>
    </row>
    <row r="11" spans="2:21" x14ac:dyDescent="0.3">
      <c r="B11" s="230" t="s">
        <v>122</v>
      </c>
      <c r="C11" s="130">
        <v>8.5419999999999992E-3</v>
      </c>
      <c r="D11" s="130">
        <v>7.9170000000000004E-3</v>
      </c>
      <c r="E11" s="130">
        <v>8.3330000000000001E-3</v>
      </c>
      <c r="F11" s="130">
        <v>0.01</v>
      </c>
      <c r="G11" s="130">
        <v>8.1250000000000003E-3</v>
      </c>
      <c r="H11" s="130">
        <v>8.1250000000000003E-3</v>
      </c>
      <c r="I11" s="130">
        <v>6.2500000000000003E-3</v>
      </c>
      <c r="J11" s="130">
        <v>5.208E-3</v>
      </c>
      <c r="K11" s="130">
        <v>5.208E-3</v>
      </c>
      <c r="L11" s="130">
        <v>5.0000000000000001E-3</v>
      </c>
      <c r="M11" s="130">
        <v>5.0000000000000001E-3</v>
      </c>
      <c r="N11" s="130">
        <v>5.0000000000000001E-3</v>
      </c>
      <c r="O11" s="130">
        <v>4.5830000000000003E-3</v>
      </c>
      <c r="P11" s="130">
        <v>4.1669999999999997E-3</v>
      </c>
      <c r="Q11" s="130">
        <v>4.1669999999999997E-3</v>
      </c>
      <c r="R11" s="229">
        <v>5.4169999999999999E-3</v>
      </c>
      <c r="S11" s="130">
        <v>6.2500000000000003E-3</v>
      </c>
      <c r="T11" s="130">
        <v>5.8329999999999996E-3</v>
      </c>
    </row>
    <row r="12" spans="2:21" x14ac:dyDescent="0.3">
      <c r="B12" s="230" t="s">
        <v>123</v>
      </c>
      <c r="C12" s="130">
        <v>8.5419999999999992E-3</v>
      </c>
      <c r="D12" s="130">
        <v>7.9170000000000004E-3</v>
      </c>
      <c r="E12" s="130">
        <v>8.3330000000000001E-3</v>
      </c>
      <c r="F12" s="130">
        <v>0.01</v>
      </c>
      <c r="G12" s="130">
        <v>8.1250000000000003E-3</v>
      </c>
      <c r="H12" s="130">
        <v>8.1250000000000003E-3</v>
      </c>
      <c r="I12" s="130">
        <v>6.2500000000000003E-3</v>
      </c>
      <c r="J12" s="130">
        <v>5.208E-3</v>
      </c>
      <c r="K12" s="130">
        <v>5.208E-3</v>
      </c>
      <c r="L12" s="130">
        <v>5.0000000000000001E-3</v>
      </c>
      <c r="M12" s="130">
        <v>5.0000000000000001E-3</v>
      </c>
      <c r="N12" s="130">
        <v>5.0000000000000001E-3</v>
      </c>
      <c r="O12" s="130">
        <v>4.5830000000000003E-3</v>
      </c>
      <c r="P12" s="130">
        <v>4.1669999999999997E-3</v>
      </c>
      <c r="Q12" s="130">
        <v>4.1669999999999997E-3</v>
      </c>
      <c r="R12" s="229">
        <v>5.4169999999999999E-3</v>
      </c>
      <c r="S12" s="130">
        <v>6.2500000000000003E-3</v>
      </c>
      <c r="T12" s="130">
        <v>5.8329999999999996E-3</v>
      </c>
    </row>
    <row r="13" spans="2:21" x14ac:dyDescent="0.3">
      <c r="B13" s="230" t="s">
        <v>124</v>
      </c>
      <c r="C13" s="130">
        <v>8.1250000000000003E-3</v>
      </c>
      <c r="D13" s="130">
        <v>8.3330000000000001E-3</v>
      </c>
      <c r="E13" s="130">
        <v>8.3330000000000001E-3</v>
      </c>
      <c r="F13" s="130">
        <v>9.1669999999999998E-3</v>
      </c>
      <c r="G13" s="130">
        <v>8.1250000000000003E-3</v>
      </c>
      <c r="H13" s="130">
        <v>8.1250000000000003E-3</v>
      </c>
      <c r="I13" s="130">
        <v>5.7080000000000004E-3</v>
      </c>
      <c r="J13" s="130">
        <v>5.208E-3</v>
      </c>
      <c r="K13" s="130">
        <v>5.208E-3</v>
      </c>
      <c r="L13" s="130">
        <v>5.0000000000000001E-3</v>
      </c>
      <c r="M13" s="130">
        <v>5.0000000000000001E-3</v>
      </c>
      <c r="N13" s="130">
        <v>5.0000000000000001E-3</v>
      </c>
      <c r="O13" s="130">
        <v>4.5830000000000003E-3</v>
      </c>
      <c r="P13" s="130">
        <v>4.1669999999999997E-3</v>
      </c>
      <c r="Q13" s="130">
        <v>4.1669999999999997E-3</v>
      </c>
      <c r="R13" s="229">
        <v>5.8329999999999996E-3</v>
      </c>
      <c r="S13" s="130">
        <v>6.2500000000000003E-3</v>
      </c>
      <c r="T13" s="130">
        <v>5.8329999999999996E-3</v>
      </c>
    </row>
    <row r="14" spans="2:21" x14ac:dyDescent="0.3">
      <c r="B14" s="230" t="s">
        <v>125</v>
      </c>
      <c r="C14" s="130">
        <v>8.1250000000000003E-3</v>
      </c>
      <c r="D14" s="130">
        <v>8.3330000000000001E-3</v>
      </c>
      <c r="E14" s="130">
        <v>8.3330000000000001E-3</v>
      </c>
      <c r="F14" s="130">
        <v>9.1669999999999998E-3</v>
      </c>
      <c r="G14" s="130">
        <v>8.1250000000000003E-3</v>
      </c>
      <c r="H14" s="130">
        <v>8.1250000000000003E-3</v>
      </c>
      <c r="I14" s="130">
        <v>5.7080000000000004E-3</v>
      </c>
      <c r="J14" s="130">
        <v>5.208E-3</v>
      </c>
      <c r="K14" s="130">
        <v>5.208E-3</v>
      </c>
      <c r="L14" s="130">
        <v>5.0000000000000001E-3</v>
      </c>
      <c r="M14" s="130">
        <v>5.0000000000000001E-3</v>
      </c>
      <c r="N14" s="130">
        <v>5.0000000000000001E-3</v>
      </c>
      <c r="O14" s="130">
        <v>4.5830000000000003E-3</v>
      </c>
      <c r="P14" s="130">
        <v>4.1669999999999997E-3</v>
      </c>
      <c r="Q14" s="130">
        <v>4.1669999999999997E-3</v>
      </c>
      <c r="R14" s="229">
        <v>5.8329999999999996E-3</v>
      </c>
      <c r="S14" s="130">
        <v>6.2500000000000003E-3</v>
      </c>
      <c r="T14" s="130">
        <v>5.8329999999999996E-3</v>
      </c>
    </row>
    <row r="15" spans="2:21" ht="15" thickBot="1" x14ac:dyDescent="0.35">
      <c r="B15" s="231" t="s">
        <v>126</v>
      </c>
      <c r="C15" s="232">
        <v>8.1250000000000003E-3</v>
      </c>
      <c r="D15" s="232">
        <v>8.3330000000000001E-3</v>
      </c>
      <c r="E15" s="232">
        <v>8.3330000000000001E-3</v>
      </c>
      <c r="F15" s="232">
        <v>9.1669999999999998E-3</v>
      </c>
      <c r="G15" s="232">
        <v>8.1250000000000003E-3</v>
      </c>
      <c r="H15" s="232">
        <v>8.1250000000000003E-3</v>
      </c>
      <c r="I15" s="232">
        <v>5.7080000000000004E-3</v>
      </c>
      <c r="J15" s="232">
        <v>5.208E-3</v>
      </c>
      <c r="K15" s="232">
        <v>5.208E-3</v>
      </c>
      <c r="L15" s="232">
        <v>5.0000000000000001E-3</v>
      </c>
      <c r="M15" s="232">
        <v>5.0000000000000001E-3</v>
      </c>
      <c r="N15" s="232">
        <v>5.0000000000000001E-3</v>
      </c>
      <c r="O15" s="232">
        <v>4.5830000000000003E-3</v>
      </c>
      <c r="P15" s="232">
        <v>4.1669999999999997E-3</v>
      </c>
      <c r="Q15" s="232">
        <v>4.1669999999999997E-3</v>
      </c>
      <c r="R15" s="233">
        <v>5.8329999999999996E-3</v>
      </c>
      <c r="S15" s="232">
        <v>6.2500000000000003E-3</v>
      </c>
      <c r="T15" s="232">
        <v>5.8329999999999996E-3</v>
      </c>
    </row>
    <row r="16" spans="2:21" ht="15" thickBot="1" x14ac:dyDescent="0.35">
      <c r="B16" s="234" t="s">
        <v>127</v>
      </c>
      <c r="C16" s="235">
        <f>SUM(C4:C15)</f>
        <v>0.10750199999999999</v>
      </c>
      <c r="D16" s="235">
        <f t="shared" ref="D16:T16" si="0">SUM(D4:D15)</f>
        <v>9.4998000000000027E-2</v>
      </c>
      <c r="E16" s="235">
        <f t="shared" si="0"/>
        <v>9.874800000000003E-2</v>
      </c>
      <c r="F16" s="235">
        <f t="shared" si="0"/>
        <v>0.11500199999999998</v>
      </c>
      <c r="G16" s="235">
        <f t="shared" si="0"/>
        <v>9.8123999999999989E-2</v>
      </c>
      <c r="H16" s="235">
        <f t="shared" si="0"/>
        <v>9.7499999999999976E-2</v>
      </c>
      <c r="I16" s="235">
        <f t="shared" si="0"/>
        <v>7.8750000000000001E-2</v>
      </c>
      <c r="J16" s="235">
        <f t="shared" si="0"/>
        <v>6.3749999999999987E-2</v>
      </c>
      <c r="K16" s="235">
        <f t="shared" si="0"/>
        <v>6.2495999999999989E-2</v>
      </c>
      <c r="L16" s="235">
        <f t="shared" si="0"/>
        <v>6.124799999999999E-2</v>
      </c>
      <c r="M16" s="235">
        <f t="shared" si="0"/>
        <v>5.9999999999999991E-2</v>
      </c>
      <c r="N16" s="235">
        <f t="shared" si="0"/>
        <v>5.9999999999999991E-2</v>
      </c>
      <c r="O16" s="235">
        <f t="shared" si="0"/>
        <v>5.7498000000000021E-2</v>
      </c>
      <c r="P16" s="235">
        <f t="shared" si="0"/>
        <v>5.0003999999999986E-2</v>
      </c>
      <c r="Q16" s="235">
        <f t="shared" si="0"/>
        <v>5.0003999999999986E-2</v>
      </c>
      <c r="R16" s="235">
        <f t="shared" si="0"/>
        <v>6.2498999999999992E-2</v>
      </c>
      <c r="S16" s="236">
        <f t="shared" si="0"/>
        <v>7.4999999999999997E-2</v>
      </c>
      <c r="T16" s="236">
        <f t="shared" si="0"/>
        <v>7.1246999999999991E-2</v>
      </c>
      <c r="U16" s="236">
        <v>6.9800000000000001E-2</v>
      </c>
    </row>
    <row r="19" spans="3:13" x14ac:dyDescent="0.3"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3:13" x14ac:dyDescent="0.3"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3:13" x14ac:dyDescent="0.3"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3:13" x14ac:dyDescent="0.3"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3:13" x14ac:dyDescent="0.3"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3:13" x14ac:dyDescent="0.3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3:13" x14ac:dyDescent="0.3"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3:13" x14ac:dyDescent="0.3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3:13" x14ac:dyDescent="0.3"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28" spans="3:13" x14ac:dyDescent="0.3"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</row>
    <row r="29" spans="3:13" x14ac:dyDescent="0.3"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</row>
    <row r="30" spans="3:13" x14ac:dyDescent="0.3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</vt:i4>
      </vt:variant>
    </vt:vector>
  </HeadingPairs>
  <TitlesOfParts>
    <vt:vector size="16" baseType="lpstr">
      <vt:lpstr>Rem inicialmente levantada </vt:lpstr>
      <vt:lpstr>Planilha1</vt:lpstr>
      <vt:lpstr>Dados dos Bancos</vt:lpstr>
      <vt:lpstr>Remuneração da Dívida</vt:lpstr>
      <vt:lpstr>Estatistica descritiva</vt:lpstr>
      <vt:lpstr>Indicadores</vt:lpstr>
      <vt:lpstr>Análise BNB</vt:lpstr>
      <vt:lpstr>Análise BASA</vt:lpstr>
      <vt:lpstr>TJLP</vt:lpstr>
      <vt:lpstr>Selic.IPCA</vt:lpstr>
      <vt:lpstr>Caixa relatórios IFRS</vt:lpstr>
      <vt:lpstr>Planilha2</vt:lpstr>
      <vt:lpstr>inst. divida</vt:lpstr>
      <vt:lpstr>Calc. Div e JCP</vt:lpstr>
      <vt:lpstr>Ativos Totais bk federais</vt:lpstr>
      <vt:lpstr>Selic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 Campos</dc:creator>
  <cp:keywords/>
  <dc:description/>
  <cp:lastModifiedBy>MICRO</cp:lastModifiedBy>
  <cp:revision/>
  <dcterms:created xsi:type="dcterms:W3CDTF">2018-07-07T15:11:35Z</dcterms:created>
  <dcterms:modified xsi:type="dcterms:W3CDTF">2020-02-27T12:18:55Z</dcterms:modified>
  <cp:category/>
  <cp:contentStatus/>
</cp:coreProperties>
</file>